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nela\GPDC\Desenvolvimento\1-Relacionamento e Comercialização\GRG - site - Atendimento a Lei 20.253\Arquivo XLS\Mais Recentes\"/>
    </mc:Choice>
  </mc:AlternateContent>
  <bookViews>
    <workbookView xWindow="0" yWindow="0" windowWidth="20490" windowHeight="6795"/>
  </bookViews>
  <sheets>
    <sheet name="IRT Resumo 2020" sheetId="1" r:id="rId1"/>
    <sheet name="IRT-Gráficos" sheetId="2" r:id="rId2"/>
    <sheet name="Cesta Índices IrB" sheetId="3" r:id="rId3"/>
    <sheet name="Conta Gráfica" sheetId="4" r:id="rId4"/>
  </sheets>
  <definedNames>
    <definedName name="__123Graph_A" localSheetId="2">#REF!</definedName>
    <definedName name="__123Graph_A" localSheetId="0">#REF!</definedName>
    <definedName name="__123Graph_A">#REF!</definedName>
    <definedName name="__123Graph_ACOMPARA" localSheetId="2">#REF!</definedName>
    <definedName name="__123Graph_ACOMPARA" localSheetId="0">#REF!</definedName>
    <definedName name="__123Graph_ACOMPARA">#REF!</definedName>
    <definedName name="__123Graph_ACONSMED" localSheetId="2">#REF!</definedName>
    <definedName name="__123Graph_ACONSMED" localSheetId="0">#REF!</definedName>
    <definedName name="__123Graph_ACONSMED">#REF!</definedName>
    <definedName name="__123Graph_APREVRCOM" localSheetId="2">NA()</definedName>
    <definedName name="__123Graph_APREVRCOM" localSheetId="0">NA()</definedName>
    <definedName name="__123Graph_APREVRCOM">NA()</definedName>
    <definedName name="__123Graph_APREVREALI" localSheetId="2">NA()</definedName>
    <definedName name="__123Graph_APREVREALI" localSheetId="0">NA()</definedName>
    <definedName name="__123Graph_APREVREALI">NA()</definedName>
    <definedName name="__123Graph_APREVRIND" localSheetId="2">NA()</definedName>
    <definedName name="__123Graph_APREVRIND" localSheetId="0">NA()</definedName>
    <definedName name="__123Graph_APREVRIND">NA()</definedName>
    <definedName name="__123Graph_APREVROUT" localSheetId="2">#REF!</definedName>
    <definedName name="__123Graph_APREVROUT" localSheetId="0">#REF!</definedName>
    <definedName name="__123Graph_APREVROUT">#REF!</definedName>
    <definedName name="__123Graph_APREVRRES" localSheetId="2">NA()</definedName>
    <definedName name="__123Graph_APREVRRES" localSheetId="0">NA()</definedName>
    <definedName name="__123Graph_APREVRRES">NA()</definedName>
    <definedName name="__123Graph_APREVRTOT" localSheetId="2">NA()</definedName>
    <definedName name="__123Graph_APREVRTOT" localSheetId="0">NA()</definedName>
    <definedName name="__123Graph_APREVRTOT">NA()</definedName>
    <definedName name="__123Graph_B" localSheetId="2">NA()</definedName>
    <definedName name="__123Graph_B" localSheetId="0">NA()</definedName>
    <definedName name="__123Graph_B">NA()</definedName>
    <definedName name="__123Graph_BCOMPARA" localSheetId="2">NA()</definedName>
    <definedName name="__123Graph_BCOMPARA" localSheetId="0">NA()</definedName>
    <definedName name="__123Graph_BCOMPARA">NA()</definedName>
    <definedName name="__123Graph_BPREVREALI" localSheetId="2">NA()</definedName>
    <definedName name="__123Graph_BPREVREALI" localSheetId="0">NA()</definedName>
    <definedName name="__123Graph_BPREVREALI">NA()</definedName>
    <definedName name="__123Graph_CPREVREALI" localSheetId="2">NA()</definedName>
    <definedName name="__123Graph_CPREVREALI" localSheetId="0">NA()</definedName>
    <definedName name="__123Graph_CPREVREALI">NA()</definedName>
    <definedName name="__123Graph_D" localSheetId="2">NA()</definedName>
    <definedName name="__123Graph_D" localSheetId="0">NA()</definedName>
    <definedName name="__123Graph_D">NA()</definedName>
    <definedName name="__123Graph_DCOMPARA" localSheetId="2">NA()</definedName>
    <definedName name="__123Graph_DCOMPARA" localSheetId="0">NA()</definedName>
    <definedName name="__123Graph_DCOMPARA">NA()</definedName>
    <definedName name="__123Graph_DPREVREALI" localSheetId="2">#REF!</definedName>
    <definedName name="__123Graph_DPREVREALI" localSheetId="0">#REF!</definedName>
    <definedName name="__123Graph_DPREVREALI">#REF!</definedName>
    <definedName name="__123Graph_EPREVREALI" localSheetId="2">NA()</definedName>
    <definedName name="__123Graph_EPREVREALI" localSheetId="0">NA()</definedName>
    <definedName name="__123Graph_EPREVREALI">NA()</definedName>
    <definedName name="__123Graph_F" localSheetId="2">NA()</definedName>
    <definedName name="__123Graph_F" localSheetId="0">NA()</definedName>
    <definedName name="__123Graph_F">NA()</definedName>
    <definedName name="__123Graph_FCOMPARA" localSheetId="2">NA()</definedName>
    <definedName name="__123Graph_FCOMPARA" localSheetId="0">NA()</definedName>
    <definedName name="__123Graph_FCOMPARA">NA()</definedName>
    <definedName name="__123Graph_XCONSMED" localSheetId="2">#REF!</definedName>
    <definedName name="__123Graph_XCONSMED" localSheetId="0">#REF!</definedName>
    <definedName name="__123Graph_XCONSMED">#REF!</definedName>
    <definedName name="__123Graph_XELASTIC" localSheetId="2">#REF!</definedName>
    <definedName name="__123Graph_XELASTIC" localSheetId="0">#REF!</definedName>
    <definedName name="__123Graph_XELASTIC">#REF!</definedName>
    <definedName name="__123Graph_XPREVRCOM" localSheetId="2">#REF!</definedName>
    <definedName name="__123Graph_XPREVRCOM" localSheetId="0">#REF!</definedName>
    <definedName name="__123Graph_XPREVRCOM">#REF!</definedName>
    <definedName name="__123Graph_XPREVREALI" localSheetId="2">#REF!</definedName>
    <definedName name="__123Graph_XPREVREALI" localSheetId="0">#REF!</definedName>
    <definedName name="__123Graph_XPREVREALI">#REF!</definedName>
    <definedName name="__123Graph_XPREVRIND" localSheetId="2">#REF!</definedName>
    <definedName name="__123Graph_XPREVRIND" localSheetId="0">#REF!</definedName>
    <definedName name="__123Graph_XPREVRIND">#REF!</definedName>
    <definedName name="__123Graph_XPREVROUT" localSheetId="2">#REF!</definedName>
    <definedName name="__123Graph_XPREVROUT" localSheetId="0">#REF!</definedName>
    <definedName name="__123Graph_XPREVROUT">#REF!</definedName>
    <definedName name="__123Graph_XPREVRRES" localSheetId="2">#REF!</definedName>
    <definedName name="__123Graph_XPREVRRES" localSheetId="0">#REF!</definedName>
    <definedName name="__123Graph_XPREVRRES">#REF!</definedName>
    <definedName name="__123Graph_XPREVRTOT" localSheetId="2">#REF!</definedName>
    <definedName name="__123Graph_XPREVRTOT" localSheetId="0">#REF!</definedName>
    <definedName name="__123Graph_XPREVRTOT">#REF!</definedName>
    <definedName name="_10__123Graph_ACHART_17">NA()</definedName>
    <definedName name="_11__123Graph_ACHART_18">NA()</definedName>
    <definedName name="_12__123Graph_ACHART_2">NA()</definedName>
    <definedName name="_13__123Graph_ACHART_22">NA()</definedName>
    <definedName name="_14__123Graph_ACHART_23">NA()</definedName>
    <definedName name="_15__123Graph_ACHART_24">NA()</definedName>
    <definedName name="_16__123Graph_ACHART_25">NA()</definedName>
    <definedName name="_17__123Graph_ACHART_26">NA()</definedName>
    <definedName name="_18__123Graph_ACHART_27">NA()</definedName>
    <definedName name="_19__123Graph_ACHART_28">NA()</definedName>
    <definedName name="_2__123Graph_ACHART_1">NA()</definedName>
    <definedName name="_20__123Graph_ACHART_29">NA()</definedName>
    <definedName name="_21__123Graph_ACHART_3">NA()</definedName>
    <definedName name="_22__123Graph_ACHART_30">NA()</definedName>
    <definedName name="_23__123Graph_ACHART_4">NA()</definedName>
    <definedName name="_24__123Graph_ACHART_5">NA()</definedName>
    <definedName name="_25__123Graph_ACHART_6">NA()</definedName>
    <definedName name="_26__123Graph_ACHART_7">NA()</definedName>
    <definedName name="_27__123Graph_ACHART_8">NA()</definedName>
    <definedName name="_28__123Graph_ACHART_9">NA()</definedName>
    <definedName name="_29__123Graph_BCHART_1">NA()</definedName>
    <definedName name="_3__123Graph_ACHART_10">NA()</definedName>
    <definedName name="_30__123Graph_BCHART_10">NA()</definedName>
    <definedName name="_31__123Graph_BCHART_11">NA()</definedName>
    <definedName name="_32__123Graph_BCHART_12">NA()</definedName>
    <definedName name="_33__123Graph_BCHART_13">NA()</definedName>
    <definedName name="_34__123Graph_BCHART_14">NA()</definedName>
    <definedName name="_35__123Graph_BCHART_15">NA()</definedName>
    <definedName name="_36__123Graph_BCHART_16">NA()</definedName>
    <definedName name="_37__123Graph_BCHART_17">NA()</definedName>
    <definedName name="_38__123Graph_BCHART_18">NA()</definedName>
    <definedName name="_39__123Graph_BCHART_2">NA()</definedName>
    <definedName name="_4__123Graph_ACHART_11">NA()</definedName>
    <definedName name="_40__123Graph_BCHART_22">NA()</definedName>
    <definedName name="_41__123Graph_BCHART_23">NA()</definedName>
    <definedName name="_42__123Graph_BCHART_24">NA()</definedName>
    <definedName name="_43__123Graph_BCHART_25">NA()</definedName>
    <definedName name="_44__123Graph_BCHART_26">NA()</definedName>
    <definedName name="_45__123Graph_BCHART_27">NA()</definedName>
    <definedName name="_46__123Graph_BCHART_28">NA()</definedName>
    <definedName name="_47__123Graph_BCHART_29">NA()</definedName>
    <definedName name="_48__123Graph_BCHART_3">NA()</definedName>
    <definedName name="_49__123Graph_BCHART_30">NA()</definedName>
    <definedName name="_5__123Graph_ACHART_12">NA()</definedName>
    <definedName name="_50__123Graph_BCHART_4">NA()</definedName>
    <definedName name="_51__123Graph_BCHART_5">NA()</definedName>
    <definedName name="_52__123Graph_BCHART_6">NA()</definedName>
    <definedName name="_53__123Graph_BCHART_7">NA()</definedName>
    <definedName name="_54__123Graph_BCHART_8">NA()</definedName>
    <definedName name="_55__123Graph_BCHART_9">NA()</definedName>
    <definedName name="_56__123Graph_CCHART_25">NA()</definedName>
    <definedName name="_57__123Graph_CCHART_26">NA()</definedName>
    <definedName name="_58__123Graph_CCHART_27">NA()</definedName>
    <definedName name="_59__123Graph_CCHART_28">NA()</definedName>
    <definedName name="_6__123Graph_ACHART_13">NA()</definedName>
    <definedName name="_60__123Graph_CCHART_29">NA()</definedName>
    <definedName name="_61__123Graph_CCHART_30">NA()</definedName>
    <definedName name="_62__123Graph_DCHART_25">NA()</definedName>
    <definedName name="_63__123Graph_DCHART_26">NA()</definedName>
    <definedName name="_64__123Graph_DCHART_27">NA()</definedName>
    <definedName name="_65__123Graph_DCHART_28">NA()</definedName>
    <definedName name="_66__123Graph_DCHART_29">NA()</definedName>
    <definedName name="_67__123Graph_DCHART_30">NA()</definedName>
    <definedName name="_68__123Graph_XCHART_10">NA()</definedName>
    <definedName name="_69__123Graph_XCHART_11">NA()</definedName>
    <definedName name="_7__123Graph_ACHART_14">NA()</definedName>
    <definedName name="_70__123Graph_XCHART_12">NA()</definedName>
    <definedName name="_71__123Graph_XCHART_13">NA()</definedName>
    <definedName name="_72__123Graph_XCHART_14">NA()</definedName>
    <definedName name="_73__123Graph_XCHART_15">NA()</definedName>
    <definedName name="_74__123Graph_XCHART_16">NA()</definedName>
    <definedName name="_75__123Graph_XCHART_2">NA()</definedName>
    <definedName name="_76__123Graph_XCHART_3">NA()</definedName>
    <definedName name="_77__123Graph_XCHART_4">NA()</definedName>
    <definedName name="_78__123Graph_XCHART_5">NA()</definedName>
    <definedName name="_79__123Graph_XCHART_6">NA()</definedName>
    <definedName name="_8__123Graph_ACHART_15">NA()</definedName>
    <definedName name="_80__123Graph_XCHART_7">NA()</definedName>
    <definedName name="_81__123Graph_XCHART_8">NA()</definedName>
    <definedName name="_82__123Graph_XCHART_9">NA()</definedName>
    <definedName name="_9__123Graph_ACHART_16">NA()</definedName>
    <definedName name="_B1">NA()</definedName>
    <definedName name="_bb1">NA()</definedName>
    <definedName name="_bbb1">NA()</definedName>
    <definedName name="_bx1">NA()</definedName>
    <definedName name="_CD1">NA()</definedName>
    <definedName name="_cdx1">NA()</definedName>
    <definedName name="_df1">NA()</definedName>
    <definedName name="_e1">NA()</definedName>
    <definedName name="_Fill" localSheetId="2">NA()</definedName>
    <definedName name="_Fill" localSheetId="0">NA()</definedName>
    <definedName name="_Fill">NA()</definedName>
    <definedName name="_Key1" localSheetId="2">NA()</definedName>
    <definedName name="_Key1" localSheetId="0">NA()</definedName>
    <definedName name="_Key1">NA()</definedName>
    <definedName name="_Order1">0</definedName>
    <definedName name="_Order2">255</definedName>
    <definedName name="_Regression_Out" localSheetId="2">#REF!</definedName>
    <definedName name="_Regression_Out" localSheetId="0">#REF!</definedName>
    <definedName name="_Regression_Out">#REF!</definedName>
    <definedName name="_Regression_X" localSheetId="2">#REF!</definedName>
    <definedName name="_Regression_X" localSheetId="0">#REF!</definedName>
    <definedName name="_Regression_X">#REF!</definedName>
    <definedName name="_Sort" localSheetId="2">NA()</definedName>
    <definedName name="_Sort" localSheetId="0">NA()</definedName>
    <definedName name="_Sort">NA()</definedName>
    <definedName name="anscount">3</definedName>
    <definedName name="AS2DocOpenMode">"AS2DocumentEdit"</definedName>
    <definedName name="B">NA()</definedName>
    <definedName name="BANCO1" localSheetId="2">NA()</definedName>
    <definedName name="BANCO1" localSheetId="0">NA()</definedName>
    <definedName name="BANCO1">NA()</definedName>
    <definedName name="bbb">NA()</definedName>
    <definedName name="bbbbbbbbbbbbbbbbbbbbbbbbbbbbbbbbb">NA()</definedName>
    <definedName name="bbbosta">NA()</definedName>
    <definedName name="bbosta">NA()</definedName>
    <definedName name="bosta">NA()</definedName>
    <definedName name="bx">NA()</definedName>
    <definedName name="CBWorkbookPriority">-71257818</definedName>
    <definedName name="CD">NA()</definedName>
    <definedName name="cdx">NA()</definedName>
    <definedName name="cvcvxvxcvxcvxcv">NA()</definedName>
    <definedName name="df">NA()</definedName>
    <definedName name="dfsagasgdfagadfgdaf">NA()</definedName>
    <definedName name="ds">NA()</definedName>
    <definedName name="e">NA()</definedName>
    <definedName name="Excel_BuiltIn__FilterDatabase" localSheetId="2">NA()</definedName>
    <definedName name="Excel_BuiltIn__FilterDatabase" localSheetId="0">NA()</definedName>
    <definedName name="Excel_BuiltIn__FilterDatabase">NA()</definedName>
    <definedName name="ff">NA()</definedName>
    <definedName name="HTML_CodePage">1252</definedName>
    <definedName name="HTML_Control">{"'IPM Var Anual %'!$B$4:$H$23"}</definedName>
    <definedName name="HTML_Description">""</definedName>
    <definedName name="HTML_Email">""</definedName>
    <definedName name="HTML_Header">"IPM Var Anual %"</definedName>
    <definedName name="HTML_LastUpdate">"24/05/2001"</definedName>
    <definedName name="HTML_LineAfter">FALSE</definedName>
    <definedName name="HTML_LineBefore">FALSE</definedName>
    <definedName name="HTML_Name">"Iga"</definedName>
    <definedName name="HTML_OBDlg2">TRUE</definedName>
    <definedName name="HTML_OBDlg4">TRUE</definedName>
    <definedName name="HTML_OS">0</definedName>
    <definedName name="HTML_PathFile">"C:\Mis documentos\anexo internacional mayo 2001\20  tasas de inflación mayoista.htm"</definedName>
    <definedName name="HTML_Title">"anexoint"</definedName>
    <definedName name="im">NA()</definedName>
    <definedName name="ime">NA()</definedName>
    <definedName name="limcount">1</definedName>
    <definedName name="men">NA()</definedName>
    <definedName name="pp">NA()</definedName>
    <definedName name="RBTESTE">NA()</definedName>
    <definedName name="sencount">2</definedName>
    <definedName name="solver_lin">0</definedName>
    <definedName name="teste2" localSheetId="2">#REF!</definedName>
    <definedName name="teste2" localSheetId="0">#REF!</definedName>
    <definedName name="teste2">#REF!</definedName>
    <definedName name="wrn_ESTADOS___FINANCIEROS_">NA()</definedName>
    <definedName name="wrn_INFMES_">NA()</definedName>
    <definedName name="wrn_MENSUAL_">NA()</definedName>
    <definedName name="ws">NA()</definedName>
    <definedName name="xs">NA()</definedName>
    <definedName name="xsa">NA()</definedName>
    <definedName name="xxx">NA()</definedName>
    <definedName name="zzzzzzzzzzzzzzzzzz">NA()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6" i="1"/>
  <c r="F25" i="1"/>
  <c r="F24" i="1"/>
  <c r="F23" i="1"/>
  <c r="F22" i="1"/>
  <c r="F21" i="1"/>
  <c r="D21" i="1" l="1"/>
  <c r="J8" i="4" l="1"/>
  <c r="J10" i="4" s="1"/>
  <c r="N8" i="4"/>
  <c r="N10" i="4" s="1"/>
  <c r="G5" i="4"/>
  <c r="H5" i="4"/>
  <c r="C7" i="4"/>
  <c r="D7" i="4"/>
  <c r="E7" i="4"/>
  <c r="F7" i="4"/>
  <c r="G7" i="4"/>
  <c r="I7" i="4"/>
  <c r="I8" i="4" s="1"/>
  <c r="J7" i="4"/>
  <c r="K7" i="4"/>
  <c r="L7" i="4"/>
  <c r="M7" i="4"/>
  <c r="M8" i="4" s="1"/>
  <c r="N7" i="4"/>
  <c r="O7" i="4"/>
  <c r="C8" i="4"/>
  <c r="D8" i="4"/>
  <c r="G8" i="4"/>
  <c r="K8" i="4"/>
  <c r="L8" i="4"/>
  <c r="O8" i="4"/>
  <c r="I9" i="4"/>
  <c r="I20" i="4" s="1"/>
  <c r="D11" i="4"/>
  <c r="E11" i="4"/>
  <c r="F11" i="4"/>
  <c r="H11" i="4"/>
  <c r="H22" i="4" s="1"/>
  <c r="H33" i="4" s="1"/>
  <c r="I11" i="4"/>
  <c r="J11" i="4"/>
  <c r="K11" i="4"/>
  <c r="L11" i="4"/>
  <c r="L22" i="4" s="1"/>
  <c r="L33" i="4" s="1"/>
  <c r="M11" i="4"/>
  <c r="N11" i="4"/>
  <c r="O11" i="4"/>
  <c r="C12" i="4"/>
  <c r="D12" i="4" s="1"/>
  <c r="N19" i="4"/>
  <c r="N21" i="4" s="1"/>
  <c r="C16" i="4"/>
  <c r="D16" i="4"/>
  <c r="D18" i="4" s="1"/>
  <c r="E16" i="4"/>
  <c r="F16" i="4"/>
  <c r="G16" i="4"/>
  <c r="I16" i="4"/>
  <c r="J16" i="4"/>
  <c r="K16" i="4"/>
  <c r="L16" i="4"/>
  <c r="L18" i="4" s="1"/>
  <c r="M16" i="4"/>
  <c r="N16" i="4"/>
  <c r="O16" i="4"/>
  <c r="C18" i="4"/>
  <c r="E18" i="4"/>
  <c r="F18" i="4"/>
  <c r="G18" i="4"/>
  <c r="I18" i="4"/>
  <c r="J18" i="4"/>
  <c r="K18" i="4"/>
  <c r="M18" i="4"/>
  <c r="N18" i="4"/>
  <c r="O18" i="4"/>
  <c r="C19" i="4"/>
  <c r="D19" i="4"/>
  <c r="E19" i="4"/>
  <c r="G19" i="4"/>
  <c r="I19" i="4"/>
  <c r="K19" i="4"/>
  <c r="L19" i="4"/>
  <c r="M19" i="4"/>
  <c r="O19" i="4"/>
  <c r="F20" i="4"/>
  <c r="F31" i="4" s="1"/>
  <c r="D22" i="4"/>
  <c r="E22" i="4"/>
  <c r="E33" i="4" s="1"/>
  <c r="F22" i="4"/>
  <c r="I22" i="4"/>
  <c r="J22" i="4"/>
  <c r="K22" i="4"/>
  <c r="M22" i="4"/>
  <c r="N22" i="4"/>
  <c r="C23" i="4"/>
  <c r="C27" i="4"/>
  <c r="D27" i="4"/>
  <c r="D29" i="4" s="1"/>
  <c r="E27" i="4"/>
  <c r="E29" i="4" s="1"/>
  <c r="E30" i="4" s="1"/>
  <c r="F27" i="4"/>
  <c r="G27" i="4"/>
  <c r="I27" i="4"/>
  <c r="I29" i="4" s="1"/>
  <c r="I30" i="4" s="1"/>
  <c r="J27" i="4"/>
  <c r="K27" i="4"/>
  <c r="L27" i="4"/>
  <c r="L29" i="4" s="1"/>
  <c r="L30" i="4" s="1"/>
  <c r="M27" i="4"/>
  <c r="N27" i="4"/>
  <c r="O27" i="4"/>
  <c r="C29" i="4"/>
  <c r="F29" i="4"/>
  <c r="G29" i="4"/>
  <c r="J29" i="4"/>
  <c r="K29" i="4"/>
  <c r="M29" i="4"/>
  <c r="N29" i="4"/>
  <c r="O29" i="4"/>
  <c r="C30" i="4"/>
  <c r="G30" i="4"/>
  <c r="K30" i="4"/>
  <c r="M30" i="4"/>
  <c r="O30" i="4"/>
  <c r="D33" i="4"/>
  <c r="F33" i="4"/>
  <c r="I33" i="4"/>
  <c r="J33" i="4"/>
  <c r="K33" i="4"/>
  <c r="M33" i="4"/>
  <c r="N33" i="4"/>
  <c r="C34" i="4"/>
  <c r="E40" i="4"/>
  <c r="E9" i="4" s="1"/>
  <c r="E20" i="4" s="1"/>
  <c r="F40" i="4"/>
  <c r="F9" i="4" s="1"/>
  <c r="I40" i="4"/>
  <c r="J40" i="4"/>
  <c r="J9" i="4" s="1"/>
  <c r="J20" i="4" s="1"/>
  <c r="J31" i="4" s="1"/>
  <c r="M40" i="4"/>
  <c r="M9" i="4" s="1"/>
  <c r="M20" i="4" s="1"/>
  <c r="N40" i="4"/>
  <c r="N9" i="4" s="1"/>
  <c r="N20" i="4" s="1"/>
  <c r="N31" i="4" s="1"/>
  <c r="C41" i="4"/>
  <c r="C40" i="4" s="1"/>
  <c r="C9" i="4" s="1"/>
  <c r="C20" i="4" s="1"/>
  <c r="D58" i="4"/>
  <c r="D59" i="4"/>
  <c r="D60" i="4"/>
  <c r="E4" i="3"/>
  <c r="F4" i="3"/>
  <c r="G4" i="3"/>
  <c r="E5" i="3"/>
  <c r="F5" i="3"/>
  <c r="G5" i="3"/>
  <c r="E6" i="3"/>
  <c r="F6" i="3"/>
  <c r="G6" i="3"/>
  <c r="H6" i="3" s="1"/>
  <c r="G8" i="3"/>
  <c r="H8" i="3" s="1"/>
  <c r="G9" i="3"/>
  <c r="G27" i="3" s="1"/>
  <c r="C13" i="3"/>
  <c r="E13" i="3"/>
  <c r="F13" i="3"/>
  <c r="C14" i="3"/>
  <c r="E14" i="3"/>
  <c r="E16" i="3" s="1"/>
  <c r="F14" i="3"/>
  <c r="F16" i="3" s="1"/>
  <c r="F33" i="3" s="1"/>
  <c r="F21" i="3"/>
  <c r="G21" i="3"/>
  <c r="E22" i="3"/>
  <c r="F22" i="3"/>
  <c r="E23" i="3"/>
  <c r="F23" i="3"/>
  <c r="E24" i="3"/>
  <c r="F24" i="3"/>
  <c r="E25" i="3"/>
  <c r="F25" i="3"/>
  <c r="E26" i="3"/>
  <c r="F26" i="3"/>
  <c r="G26" i="3"/>
  <c r="E27" i="3"/>
  <c r="F27" i="3"/>
  <c r="F30" i="3"/>
  <c r="G30" i="3"/>
  <c r="E31" i="3"/>
  <c r="F31" i="3"/>
  <c r="E32" i="3"/>
  <c r="F32" i="3"/>
  <c r="G32" i="3"/>
  <c r="E33" i="3"/>
  <c r="E24" i="2"/>
  <c r="E25" i="2"/>
  <c r="E26" i="2"/>
  <c r="E27" i="2"/>
  <c r="E5" i="1"/>
  <c r="E9" i="1"/>
  <c r="E15" i="1"/>
  <c r="D16" i="1"/>
  <c r="E16" i="1"/>
  <c r="F16" i="1"/>
  <c r="C4" i="2"/>
  <c r="D4" i="2"/>
  <c r="C23" i="1"/>
  <c r="C32" i="1" s="1"/>
  <c r="C39" i="1" s="1"/>
  <c r="D24" i="1"/>
  <c r="E24" i="1"/>
  <c r="D25" i="1"/>
  <c r="D23" i="1" s="1"/>
  <c r="E25" i="1"/>
  <c r="D26" i="1"/>
  <c r="E26" i="1"/>
  <c r="C8" i="2" s="1"/>
  <c r="D28" i="1"/>
  <c r="D27" i="1" s="1"/>
  <c r="E28" i="1"/>
  <c r="C10" i="2" s="1"/>
  <c r="D29" i="1"/>
  <c r="E29" i="1"/>
  <c r="C11" i="2" s="1"/>
  <c r="D30" i="1"/>
  <c r="E30" i="1"/>
  <c r="C12" i="2" s="1"/>
  <c r="D38" i="1"/>
  <c r="C43" i="1"/>
  <c r="C46" i="1"/>
  <c r="C48" i="1"/>
  <c r="C51" i="1" s="1"/>
  <c r="C9" i="2" l="1"/>
  <c r="H5" i="3"/>
  <c r="G23" i="3"/>
  <c r="C53" i="1"/>
  <c r="C54" i="1" s="1"/>
  <c r="C50" i="1"/>
  <c r="C55" i="1" s="1"/>
  <c r="M31" i="4"/>
  <c r="M32" i="4" s="1"/>
  <c r="M21" i="4"/>
  <c r="E21" i="4"/>
  <c r="E31" i="4"/>
  <c r="D30" i="4"/>
  <c r="P4" i="4"/>
  <c r="F6" i="1" s="1"/>
  <c r="F8" i="4"/>
  <c r="F10" i="4" s="1"/>
  <c r="P15" i="4"/>
  <c r="F7" i="1" s="1"/>
  <c r="F19" i="4"/>
  <c r="P5" i="4"/>
  <c r="H7" i="4"/>
  <c r="H8" i="4" s="1"/>
  <c r="G24" i="3"/>
  <c r="C21" i="4"/>
  <c r="C31" i="4"/>
  <c r="C32" i="4" s="1"/>
  <c r="D23" i="4"/>
  <c r="E23" i="4" s="1"/>
  <c r="H16" i="4"/>
  <c r="G10" i="4"/>
  <c r="E8" i="4"/>
  <c r="E10" i="4" s="1"/>
  <c r="P7" i="4"/>
  <c r="C10" i="4"/>
  <c r="C6" i="2"/>
  <c r="C21" i="2"/>
  <c r="E23" i="1"/>
  <c r="J19" i="4"/>
  <c r="J21" i="4" s="1"/>
  <c r="I31" i="4"/>
  <c r="I21" i="4"/>
  <c r="E27" i="1"/>
  <c r="C22" i="2"/>
  <c r="C23" i="2"/>
  <c r="C7" i="2"/>
  <c r="C16" i="3"/>
  <c r="D15" i="1"/>
  <c r="H4" i="3"/>
  <c r="H14" i="3" s="1"/>
  <c r="G22" i="3"/>
  <c r="G14" i="3"/>
  <c r="I32" i="4"/>
  <c r="E32" i="4"/>
  <c r="N30" i="4"/>
  <c r="N32" i="4" s="1"/>
  <c r="J30" i="4"/>
  <c r="J32" i="4" s="1"/>
  <c r="P26" i="4"/>
  <c r="F8" i="1" s="1"/>
  <c r="F30" i="4"/>
  <c r="F32" i="4" s="1"/>
  <c r="M10" i="4"/>
  <c r="I10" i="4"/>
  <c r="C19" i="2"/>
  <c r="E19" i="2" s="1"/>
  <c r="L40" i="4"/>
  <c r="L9" i="4" s="1"/>
  <c r="H40" i="4"/>
  <c r="H9" i="4" s="1"/>
  <c r="H20" i="4" s="1"/>
  <c r="D40" i="4"/>
  <c r="D9" i="4" s="1"/>
  <c r="O40" i="4"/>
  <c r="O9" i="4" s="1"/>
  <c r="K40" i="4"/>
  <c r="K9" i="4" s="1"/>
  <c r="K20" i="4" s="1"/>
  <c r="G40" i="4"/>
  <c r="G9" i="4" s="1"/>
  <c r="C5" i="2" l="1"/>
  <c r="D32" i="1"/>
  <c r="O20" i="4"/>
  <c r="O10" i="4"/>
  <c r="P10" i="4" s="1"/>
  <c r="D20" i="4"/>
  <c r="D10" i="4"/>
  <c r="F21" i="4"/>
  <c r="D34" i="4"/>
  <c r="E34" i="4" s="1"/>
  <c r="F34" i="4" s="1"/>
  <c r="G21" i="4"/>
  <c r="H31" i="4"/>
  <c r="G31" i="3"/>
  <c r="F15" i="1"/>
  <c r="G16" i="3"/>
  <c r="G33" i="3" s="1"/>
  <c r="P8" i="4"/>
  <c r="H10" i="4"/>
  <c r="L20" i="4"/>
  <c r="L10" i="4"/>
  <c r="C20" i="2"/>
  <c r="H18" i="4"/>
  <c r="H27" i="4"/>
  <c r="F4" i="1"/>
  <c r="P16" i="4"/>
  <c r="P27" i="4" s="1"/>
  <c r="E12" i="4"/>
  <c r="F12" i="4" s="1"/>
  <c r="G12" i="4" s="1"/>
  <c r="H12" i="4" s="1"/>
  <c r="K21" i="4"/>
  <c r="K31" i="4"/>
  <c r="K32" i="4" s="1"/>
  <c r="H16" i="3"/>
  <c r="F23" i="4"/>
  <c r="K10" i="4"/>
  <c r="F5" i="1"/>
  <c r="C43" i="4" l="1"/>
  <c r="F10" i="1"/>
  <c r="D6" i="2"/>
  <c r="I12" i="4"/>
  <c r="J12" i="4" s="1"/>
  <c r="K12" i="4" s="1"/>
  <c r="L12" i="4" s="1"/>
  <c r="M12" i="4" s="1"/>
  <c r="N12" i="4" s="1"/>
  <c r="O12" i="4" s="1"/>
  <c r="O21" i="4"/>
  <c r="O31" i="4"/>
  <c r="O32" i="4" s="1"/>
  <c r="D33" i="1"/>
  <c r="D39" i="1"/>
  <c r="H29" i="4"/>
  <c r="L31" i="4"/>
  <c r="L32" i="4" s="1"/>
  <c r="L21" i="4"/>
  <c r="C18" i="2"/>
  <c r="E32" i="1"/>
  <c r="C3" i="2"/>
  <c r="H19" i="4"/>
  <c r="P18" i="4"/>
  <c r="G32" i="4"/>
  <c r="D31" i="4"/>
  <c r="D32" i="4" s="1"/>
  <c r="D21" i="4"/>
  <c r="E33" i="1" l="1"/>
  <c r="C13" i="2"/>
  <c r="D40" i="1"/>
  <c r="H21" i="4"/>
  <c r="P19" i="4"/>
  <c r="P21" i="4"/>
  <c r="D3" i="2"/>
  <c r="H30" i="4"/>
  <c r="P29" i="4"/>
  <c r="H23" i="4"/>
  <c r="D8" i="2"/>
  <c r="F28" i="1"/>
  <c r="D7" i="2"/>
  <c r="E18" i="2"/>
  <c r="C28" i="2"/>
  <c r="D5" i="2" l="1"/>
  <c r="D10" i="2"/>
  <c r="D21" i="2"/>
  <c r="C44" i="4"/>
  <c r="F11" i="1"/>
  <c r="I23" i="4"/>
  <c r="J23" i="4" s="1"/>
  <c r="K23" i="4" s="1"/>
  <c r="L23" i="4" s="1"/>
  <c r="M23" i="4" s="1"/>
  <c r="N23" i="4" s="1"/>
  <c r="O23" i="4" s="1"/>
  <c r="H32" i="4"/>
  <c r="P30" i="4"/>
  <c r="H34" i="4"/>
  <c r="C14" i="2"/>
  <c r="C29" i="2"/>
  <c r="I34" i="4" l="1"/>
  <c r="J34" i="4" s="1"/>
  <c r="K34" i="4" s="1"/>
  <c r="L34" i="4" s="1"/>
  <c r="M34" i="4" s="1"/>
  <c r="N34" i="4" s="1"/>
  <c r="O34" i="4" s="1"/>
  <c r="F29" i="1"/>
  <c r="E21" i="2"/>
  <c r="P32" i="4"/>
  <c r="D11" i="2" l="1"/>
  <c r="D22" i="2"/>
  <c r="P36" i="4"/>
  <c r="C45" i="4"/>
  <c r="F12" i="1"/>
  <c r="E22" i="2" l="1"/>
  <c r="F30" i="1"/>
  <c r="F9" i="1"/>
  <c r="D12" i="2" l="1"/>
  <c r="D9" i="2" s="1"/>
  <c r="D23" i="2"/>
  <c r="F27" i="1"/>
  <c r="F32" i="1" l="1"/>
  <c r="E23" i="2"/>
  <c r="D20" i="2"/>
  <c r="D13" i="2" l="1"/>
  <c r="D28" i="2"/>
  <c r="E20" i="2"/>
  <c r="F19" i="2" l="1"/>
  <c r="E28" i="2"/>
  <c r="F18" i="2"/>
  <c r="D14" i="2"/>
  <c r="D29" i="2"/>
  <c r="F20" i="2"/>
</calcChain>
</file>

<file path=xl/comments1.xml><?xml version="1.0" encoding="utf-8"?>
<comments xmlns="http://schemas.openxmlformats.org/spreadsheetml/2006/main">
  <authors>
    <author xml:space="preserve"> </author>
  </authors>
  <commentList>
    <comment ref="B4" authorId="0" shapeId="0">
      <text>
        <r>
          <rPr>
            <sz val="9"/>
            <color indexed="8"/>
            <rFont val="Tahoma"/>
            <family val="2"/>
          </rPr>
          <t>% determinado na RTP, que se mantém em todo o ciclo tarifário</t>
        </r>
      </text>
    </comment>
    <comment ref="B5" authorId="0" shapeId="0">
      <text>
        <r>
          <rPr>
            <sz val="9"/>
            <color indexed="8"/>
            <rFont val="Tahoma"/>
            <family val="2"/>
          </rPr>
          <t>% determinado na RTP, que se mantém em todo o ciclo tarifário</t>
        </r>
      </text>
    </comment>
    <comment ref="B6" authorId="0" shapeId="0">
      <text>
        <r>
          <rPr>
            <sz val="9"/>
            <color indexed="8"/>
            <rFont val="Tahoma"/>
            <family val="2"/>
          </rPr>
          <t>% determinado na RTP, que se mantém em todo o ciclo tarifário</t>
        </r>
      </text>
    </comment>
    <comment ref="B7" authorId="0" shapeId="0">
      <text>
        <r>
          <rPr>
            <b/>
            <sz val="9"/>
            <color indexed="8"/>
            <rFont val="Tahoma"/>
            <family val="2"/>
          </rPr>
          <t xml:space="preserve">Lembrete:
</t>
        </r>
        <r>
          <rPr>
            <sz val="9"/>
            <color indexed="8"/>
            <rFont val="Tahoma"/>
            <family val="2"/>
          </rPr>
          <t>Atualiza Remuneração de Investimentos (RI)</t>
        </r>
      </text>
    </comment>
    <comment ref="B8" authorId="0" shapeId="0">
      <text>
        <r>
          <rPr>
            <b/>
            <sz val="9"/>
            <color indexed="8"/>
            <rFont val="Tahoma"/>
            <family val="2"/>
          </rPr>
          <t xml:space="preserve">Lembrete:
</t>
        </r>
        <r>
          <rPr>
            <sz val="9"/>
            <color indexed="8"/>
            <rFont val="Tahoma"/>
            <family val="2"/>
          </rPr>
          <t>Atualiza Outros Custos (OC)</t>
        </r>
      </text>
    </comment>
    <comment ref="B9" authorId="0" shapeId="0">
      <text>
        <r>
          <rPr>
            <b/>
            <sz val="9"/>
            <color indexed="8"/>
            <rFont val="Tahoma"/>
            <family val="2"/>
          </rPr>
          <t xml:space="preserve">Lembrete:
</t>
        </r>
        <r>
          <rPr>
            <sz val="9"/>
            <color indexed="8"/>
            <rFont val="Tahoma"/>
            <family val="2"/>
          </rPr>
          <t>Atualiza Pessoal (P)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7" authorId="0" shapeId="0">
      <text>
        <r>
          <rPr>
            <b/>
            <sz val="9"/>
            <color indexed="8"/>
            <rFont val="Tahoma"/>
            <family val="2"/>
          </rPr>
          <t xml:space="preserve">Lembrete:
</t>
        </r>
        <r>
          <rPr>
            <sz val="9"/>
            <color indexed="8"/>
            <rFont val="Tahoma"/>
            <family val="2"/>
          </rPr>
          <t>Cobert. Tarif. = T vigente x Mercado</t>
        </r>
      </text>
    </comment>
    <comment ref="B9" authorId="0" shapeId="0">
      <text>
        <r>
          <rPr>
            <b/>
            <sz val="9"/>
            <color indexed="8"/>
            <rFont val="Tahoma"/>
            <family val="2"/>
          </rPr>
          <t xml:space="preserve">Lembrete:
</t>
        </r>
        <r>
          <rPr>
            <sz val="9"/>
            <color indexed="8"/>
            <rFont val="Tahoma"/>
            <family val="2"/>
          </rPr>
          <t>Variação do IPCA do mês i (ano n-1) até dezembro de n-1:
(índice dez n-1)/(índice mês i n-1) -1</t>
        </r>
      </text>
    </comment>
    <comment ref="B20" authorId="0" shapeId="0">
      <text>
        <r>
          <rPr>
            <b/>
            <sz val="9"/>
            <color indexed="8"/>
            <rFont val="Tahoma"/>
            <family val="2"/>
          </rPr>
          <t xml:space="preserve">Lembrete:
</t>
        </r>
        <r>
          <rPr>
            <sz val="9"/>
            <color indexed="8"/>
            <rFont val="Tahoma"/>
            <family val="2"/>
          </rPr>
          <t>Variação do IPCA do mês i (ano n-1) até dezembro de n-1:
(índice dez n-1)/(índice mês i n-1) -1</t>
        </r>
      </text>
    </comment>
    <comment ref="B31" authorId="0" shapeId="0">
      <text>
        <r>
          <rPr>
            <b/>
            <sz val="9"/>
            <color indexed="8"/>
            <rFont val="Tahoma"/>
            <family val="2"/>
          </rPr>
          <t xml:space="preserve">Lembrete:
</t>
        </r>
        <r>
          <rPr>
            <sz val="9"/>
            <color indexed="8"/>
            <rFont val="Tahoma"/>
            <family val="2"/>
          </rPr>
          <t>Variação do IPCA do mês i (ano n-1) até dezembro de n-1:
(índice dez n-1)/(índice mês i n-1) -1</t>
        </r>
      </text>
    </comment>
  </commentList>
</comments>
</file>

<file path=xl/sharedStrings.xml><?xml version="1.0" encoding="utf-8"?>
<sst xmlns="http://schemas.openxmlformats.org/spreadsheetml/2006/main" count="142" uniqueCount="84">
  <si>
    <t>5m3 - TB</t>
  </si>
  <si>
    <t xml:space="preserve">TB - 2017 </t>
  </si>
  <si>
    <t>Reajuste</t>
  </si>
  <si>
    <t>10m3  - TA + TB</t>
  </si>
  <si>
    <t>Valor praticado</t>
  </si>
  <si>
    <t>Restante para diferimento</t>
  </si>
  <si>
    <t>Diferimento sem inflação</t>
  </si>
  <si>
    <t>Total</t>
  </si>
  <si>
    <t>Degrau fixo</t>
  </si>
  <si>
    <t>IPCA 2016</t>
  </si>
  <si>
    <t>Recomposição</t>
  </si>
  <si>
    <t>Tarifa Média Verificada 2017</t>
  </si>
  <si>
    <t>10 m3 - TA + TB - 7.1, Nota Técnica Sanepar, Tarifas Econômicas (P0)</t>
  </si>
  <si>
    <t>Tarifa Média Verificada 2016</t>
  </si>
  <si>
    <t>10m3 - TA + TB - 7.1, Nota Técnica Sanepar, Tarifas Econômicas (P0)</t>
  </si>
  <si>
    <t>Mercado Verificado 2016</t>
  </si>
  <si>
    <t>Receita Verificada 2016</t>
  </si>
  <si>
    <t>TB - nova estrutura (NE) - 2017</t>
  </si>
  <si>
    <t>IRT</t>
  </si>
  <si>
    <t>Tarifa Total</t>
  </si>
  <si>
    <t>R$/m³</t>
  </si>
  <si>
    <t>Acumulado (selic)</t>
  </si>
  <si>
    <t>∆ DATA BASE - 2018</t>
  </si>
  <si>
    <t>Custo da alteração data base (diferido integral)</t>
  </si>
  <si>
    <t>TF Encargos</t>
  </si>
  <si>
    <t>TF Químicos</t>
  </si>
  <si>
    <t>TF Energia</t>
  </si>
  <si>
    <t>TF</t>
  </si>
  <si>
    <t>TA Encargos</t>
  </si>
  <si>
    <t>TA Químicos</t>
  </si>
  <si>
    <t>TA Energia</t>
  </si>
  <si>
    <t>TA</t>
  </si>
  <si>
    <t>Diferimento</t>
  </si>
  <si>
    <t xml:space="preserve">TB </t>
  </si>
  <si>
    <t>2020 - Sem Diferimento 2020 e IrB Subst. IGP-M por IPCA</t>
  </si>
  <si>
    <t>CÁLCULO DO IRT</t>
  </si>
  <si>
    <t>Fator X</t>
  </si>
  <si>
    <t>IrB</t>
  </si>
  <si>
    <t>2020 Subst. Tudo por IPCA</t>
  </si>
  <si>
    <t>2019 Subst. IGPM por IPCA</t>
  </si>
  <si>
    <t>Custo Financeiro Encargos</t>
  </si>
  <si>
    <t>Custo Financeiro Químicos</t>
  </si>
  <si>
    <t>Custo Financeiro Energia</t>
  </si>
  <si>
    <t>Custo Financeiro</t>
  </si>
  <si>
    <t>Custo Encargos Referência</t>
  </si>
  <si>
    <t>Custo Químicos Referência</t>
  </si>
  <si>
    <t>Custo Energia Referência</t>
  </si>
  <si>
    <t>Custo VPA Referência</t>
  </si>
  <si>
    <t>Mercado Referência</t>
  </si>
  <si>
    <t xml:space="preserve"> </t>
  </si>
  <si>
    <t>%</t>
  </si>
  <si>
    <t>Cesta Reajuste</t>
  </si>
  <si>
    <t>Resumo da tabela 2 anterior</t>
  </si>
  <si>
    <t>-</t>
  </si>
  <si>
    <t>Base de cálculo</t>
  </si>
  <si>
    <t>Resumo da tabela 1 anterior</t>
  </si>
  <si>
    <t>Valor de Reajuste</t>
  </si>
  <si>
    <t>∆ INPC</t>
  </si>
  <si>
    <t>∆ IPCA</t>
  </si>
  <si>
    <t>∆ IGP - M</t>
  </si>
  <si>
    <t>% OC</t>
  </si>
  <si>
    <t>% RI</t>
  </si>
  <si>
    <t>% P</t>
  </si>
  <si>
    <t>2019 Subst. Tudo por IPCA</t>
  </si>
  <si>
    <t>Encargos</t>
  </si>
  <si>
    <t>Químicos</t>
  </si>
  <si>
    <t>Energia</t>
  </si>
  <si>
    <t>Variação IPCA</t>
  </si>
  <si>
    <t>Número Índice</t>
  </si>
  <si>
    <t>IPCA</t>
  </si>
  <si>
    <t>Total Geral</t>
  </si>
  <si>
    <t>Acumulado</t>
  </si>
  <si>
    <t>Variação mês a mês</t>
  </si>
  <si>
    <t>Financeiro (R$)</t>
  </si>
  <si>
    <t>Valor Real - Cobertura Tarifária (R$)</t>
  </si>
  <si>
    <t>Cobertura Tarifária (R$)</t>
  </si>
  <si>
    <r>
      <rPr>
        <sz val="10"/>
        <color indexed="8"/>
        <rFont val="Calibri"/>
        <family val="2"/>
      </rPr>
      <t>Tarifa Vigente (R$/m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>)</t>
    </r>
  </si>
  <si>
    <r>
      <rPr>
        <sz val="10"/>
        <color indexed="8"/>
        <rFont val="Calibri"/>
        <family val="2"/>
      </rPr>
      <t>Volume Total Faturado (m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>)</t>
    </r>
  </si>
  <si>
    <t>Custo Real Mensal (R$)</t>
  </si>
  <si>
    <r>
      <rPr>
        <b/>
        <sz val="10"/>
        <color indexed="9"/>
        <rFont val="Calibri"/>
        <family val="2"/>
      </rPr>
      <t xml:space="preserve">Conta Gráfica </t>
    </r>
    <r>
      <rPr>
        <b/>
        <sz val="12"/>
        <color indexed="9"/>
        <rFont val="Calibri"/>
        <family val="2"/>
      </rPr>
      <t>Encargos</t>
    </r>
  </si>
  <si>
    <r>
      <rPr>
        <b/>
        <sz val="10"/>
        <color indexed="9"/>
        <rFont val="Calibri"/>
        <family val="2"/>
      </rPr>
      <t xml:space="preserve">Conta Gráfica </t>
    </r>
    <r>
      <rPr>
        <b/>
        <sz val="12"/>
        <color indexed="9"/>
        <rFont val="Calibri"/>
        <family val="2"/>
      </rPr>
      <t>Químicos</t>
    </r>
  </si>
  <si>
    <r>
      <rPr>
        <b/>
        <sz val="10"/>
        <color indexed="9"/>
        <rFont val="Calibri"/>
        <family val="2"/>
      </rPr>
      <t xml:space="preserve">Conta Gráfica </t>
    </r>
    <r>
      <rPr>
        <b/>
        <sz val="12"/>
        <color indexed="9"/>
        <rFont val="Calibri"/>
        <family val="2"/>
      </rPr>
      <t>Energia</t>
    </r>
  </si>
  <si>
    <t>CONTA GRÁFICA DE VARIAÇÃO DA PARCELA A</t>
  </si>
  <si>
    <t>¹Reajuste Homologado - Resolução Nº 040/2020 - AGEPAR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</si>
</sst>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* #,##0.0000\ ;\-* #,##0.0000\ ;* \-#.0000\ ;@\ "/>
    <numFmt numFmtId="165" formatCode="0.0000"/>
    <numFmt numFmtId="166" formatCode="* #,##0.0000000000000\ ;\-* #,##0.0000000000000\ ;* \-#.0000000000000\ ;@\ "/>
    <numFmt numFmtId="167" formatCode="0.00000%"/>
    <numFmt numFmtId="168" formatCode="* #,##0.00\ ;* \(#,##0.00\);* \-#\ ;@\ "/>
    <numFmt numFmtId="169" formatCode="* #,##0\ ;* \(#,##0\);* \-#\ ;@\ "/>
    <numFmt numFmtId="170" formatCode="0.0000%"/>
    <numFmt numFmtId="171" formatCode="0.00000"/>
    <numFmt numFmtId="172" formatCode="#,##0.0000"/>
    <numFmt numFmtId="173" formatCode="* #,##0.00000\ ;* \(#,##0.00000\);* \-#.00000\ ;@\ "/>
    <numFmt numFmtId="174" formatCode="* #,##0.0000000\ ;* \(#,##0.0000000\);* \-#.0000000\ ;@\ "/>
    <numFmt numFmtId="175" formatCode="0.000%"/>
    <numFmt numFmtId="176" formatCode="* #,##0.00&quot; € &quot;;\-* #,##0.00&quot; € &quot;;* \-#&quot; € &quot;;@\ "/>
    <numFmt numFmtId="177" formatCode="0.000000000000"/>
    <numFmt numFmtId="178" formatCode="_-* #,##0.0000_-;\-* #,##0.0000_-;_-* &quot;-&quot;????_-;_-@_-"/>
    <numFmt numFmtId="179" formatCode="* #,##0.00\ ;* \(#,##0.00\);* \-#.00\ ;@\ "/>
    <numFmt numFmtId="180" formatCode="* #,##0.00\ ;\-* #,##0.00\ ;* \-#\ ;@\ "/>
    <numFmt numFmtId="181" formatCode="* #,##0\ ;\-* #,##0\ ;* \-#\ ;@\ "/>
    <numFmt numFmtId="182" formatCode="0.00000000000000%"/>
    <numFmt numFmtId="183" formatCode="0.00000000000000000"/>
    <numFmt numFmtId="184" formatCode="mm/yy"/>
    <numFmt numFmtId="185" formatCode="#,##0.00000"/>
    <numFmt numFmtId="186" formatCode="#,##0.000000000000"/>
    <numFmt numFmtId="187" formatCode="#,##0.000"/>
  </numFmts>
  <fonts count="3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2"/>
      <color indexed="9"/>
      <name val="Calibri"/>
      <family val="2"/>
    </font>
    <font>
      <b/>
      <sz val="10"/>
      <color indexed="17"/>
      <name val="Calibri"/>
      <family val="2"/>
    </font>
    <font>
      <sz val="12"/>
      <color indexed="9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0"/>
      <color indexed="17"/>
      <name val="Calibri"/>
      <family val="2"/>
    </font>
    <font>
      <sz val="10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55"/>
      <name val="Calibri"/>
      <family val="2"/>
    </font>
    <font>
      <b/>
      <u/>
      <sz val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u/>
      <sz val="10"/>
      <color indexed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rgb="FFFF0000"/>
      <name val="Calibri"/>
      <family val="2"/>
    </font>
    <font>
      <sz val="10"/>
      <color rgb="FF008000"/>
      <name val="Calibri"/>
      <family val="2"/>
    </font>
    <font>
      <b/>
      <sz val="10"/>
      <color rgb="FF008000"/>
      <name val="Calibri"/>
      <family val="2"/>
    </font>
    <font>
      <sz val="10"/>
      <color indexed="10"/>
      <name val="Calibri"/>
      <family val="2"/>
    </font>
    <font>
      <sz val="8"/>
      <color indexed="55"/>
      <name val="Calibri"/>
      <family val="2"/>
    </font>
    <font>
      <sz val="11"/>
      <color indexed="10"/>
      <name val="Calibri"/>
      <family val="2"/>
    </font>
    <font>
      <vertAlign val="superscript"/>
      <sz val="10"/>
      <color indexed="8"/>
      <name val="Calibri"/>
      <family val="2"/>
    </font>
    <font>
      <b/>
      <sz val="10"/>
      <color indexed="61"/>
      <name val="Calibri"/>
      <family val="2"/>
    </font>
    <font>
      <b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8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35"/>
      </patternFill>
    </fill>
    <fill>
      <patternFill patternType="solid">
        <fgColor indexed="31"/>
        <bgColor indexed="35"/>
      </patternFill>
    </fill>
    <fill>
      <patternFill patternType="solid">
        <fgColor indexed="62"/>
        <bgColor indexed="5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9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8" fontId="1" fillId="0" borderId="0" applyFill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</cellStyleXfs>
  <cellXfs count="165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 applyProtection="1">
      <alignment horizontal="center" vertical="center"/>
      <protection locked="0"/>
    </xf>
    <xf numFmtId="166" fontId="3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10" fontId="5" fillId="3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 indent="2"/>
      <protection locked="0"/>
    </xf>
    <xf numFmtId="165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167" fontId="7" fillId="4" borderId="1" xfId="3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8" fillId="3" borderId="1" xfId="3" applyNumberFormat="1" applyFont="1" applyFill="1" applyBorder="1" applyAlignment="1" applyProtection="1">
      <alignment horizontal="center" vertical="center"/>
      <protection locked="0"/>
    </xf>
    <xf numFmtId="169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168" fontId="5" fillId="3" borderId="1" xfId="1" applyFont="1" applyFill="1" applyBorder="1" applyAlignment="1" applyProtection="1">
      <alignment horizontal="right" vertical="center" wrapText="1"/>
      <protection locked="0"/>
    </xf>
    <xf numFmtId="165" fontId="5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165" fontId="9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65" fontId="6" fillId="5" borderId="1" xfId="1" applyNumberFormat="1" applyFont="1" applyFill="1" applyBorder="1" applyAlignment="1" applyProtection="1">
      <alignment horizontal="center" vertical="center"/>
      <protection locked="0"/>
    </xf>
    <xf numFmtId="171" fontId="6" fillId="5" borderId="1" xfId="1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69" fontId="1" fillId="0" borderId="0" xfId="1" applyNumberFormat="1" applyAlignment="1" applyProtection="1">
      <alignment horizontal="center" vertical="center"/>
      <protection locked="0"/>
    </xf>
    <xf numFmtId="172" fontId="11" fillId="6" borderId="1" xfId="1" applyNumberFormat="1" applyFont="1" applyFill="1" applyBorder="1" applyAlignment="1" applyProtection="1">
      <alignment horizontal="center" vertical="center"/>
      <protection locked="0"/>
    </xf>
    <xf numFmtId="169" fontId="11" fillId="6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68" fontId="1" fillId="0" borderId="0" xfId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8" fontId="1" fillId="0" borderId="0" xfId="1" applyAlignment="1" applyProtection="1">
      <alignment horizontal="center" vertical="center"/>
      <protection locked="0"/>
    </xf>
    <xf numFmtId="173" fontId="0" fillId="0" borderId="0" xfId="1" applyNumberFormat="1" applyFont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173" fontId="0" fillId="0" borderId="0" xfId="1" applyNumberFormat="1" applyFont="1" applyFill="1" applyBorder="1" applyAlignment="1" applyProtection="1">
      <alignment horizontal="right" vertical="center"/>
      <protection locked="0"/>
    </xf>
    <xf numFmtId="174" fontId="0" fillId="0" borderId="0" xfId="1" applyNumberFormat="1" applyFont="1" applyFill="1" applyBorder="1" applyAlignment="1" applyProtection="1">
      <alignment horizontal="right" vertical="center"/>
      <protection locked="0"/>
    </xf>
    <xf numFmtId="10" fontId="13" fillId="0" borderId="0" xfId="3" applyNumberFormat="1" applyFont="1" applyFill="1" applyBorder="1" applyAlignment="1" applyProtection="1">
      <alignment horizontal="center" vertical="center"/>
      <protection locked="0"/>
    </xf>
    <xf numFmtId="171" fontId="13" fillId="0" borderId="0" xfId="0" applyNumberFormat="1" applyFont="1" applyAlignment="1" applyProtection="1">
      <alignment horizontal="center" vertical="center"/>
      <protection locked="0"/>
    </xf>
    <xf numFmtId="176" fontId="2" fillId="0" borderId="0" xfId="2" applyFont="1" applyFill="1" applyBorder="1" applyAlignment="1" applyProtection="1">
      <alignment horizontal="center" vertical="center"/>
      <protection locked="0"/>
    </xf>
    <xf numFmtId="10" fontId="2" fillId="0" borderId="0" xfId="3" applyNumberFormat="1" applyFont="1" applyFill="1" applyBorder="1" applyAlignment="1" applyProtection="1">
      <alignment horizontal="center" vertical="center"/>
      <protection locked="0"/>
    </xf>
    <xf numFmtId="170" fontId="7" fillId="4" borderId="1" xfId="3" applyNumberFormat="1" applyFont="1" applyFill="1" applyBorder="1" applyAlignment="1" applyProtection="1">
      <alignment horizontal="center" vertical="center"/>
      <protection locked="0"/>
    </xf>
    <xf numFmtId="165" fontId="14" fillId="3" borderId="1" xfId="1" applyNumberFormat="1" applyFont="1" applyFill="1" applyBorder="1" applyAlignment="1" applyProtection="1">
      <alignment horizontal="center" vertical="center"/>
      <protection locked="0"/>
    </xf>
    <xf numFmtId="177" fontId="6" fillId="3" borderId="1" xfId="1" applyNumberFormat="1" applyFont="1" applyFill="1" applyBorder="1" applyAlignment="1" applyProtection="1">
      <alignment horizontal="center" vertical="center"/>
      <protection locked="0"/>
    </xf>
    <xf numFmtId="165" fontId="8" fillId="3" borderId="1" xfId="1" applyNumberFormat="1" applyFont="1" applyFill="1" applyBorder="1" applyAlignment="1" applyProtection="1">
      <alignment horizontal="center" vertical="center"/>
      <protection locked="0"/>
    </xf>
    <xf numFmtId="165" fontId="2" fillId="6" borderId="1" xfId="0" applyNumberFormat="1" applyFont="1" applyFill="1" applyBorder="1" applyAlignment="1" applyProtection="1">
      <alignment horizontal="center" vertical="center"/>
      <protection locked="0"/>
    </xf>
    <xf numFmtId="165" fontId="2" fillId="6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 indent="2"/>
      <protection locked="0"/>
    </xf>
    <xf numFmtId="165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5" fontId="11" fillId="6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/>
    <xf numFmtId="178" fontId="2" fillId="0" borderId="0" xfId="0" applyNumberFormat="1" applyFont="1" applyAlignment="1" applyProtection="1">
      <alignment horizontal="center" vertical="center"/>
      <protection locked="0"/>
    </xf>
    <xf numFmtId="165" fontId="0" fillId="0" borderId="0" xfId="0" applyNumberFormat="1"/>
    <xf numFmtId="174" fontId="1" fillId="0" borderId="0" xfId="1" applyNumberFormat="1"/>
    <xf numFmtId="170" fontId="2" fillId="6" borderId="1" xfId="0" applyNumberFormat="1" applyFont="1" applyFill="1" applyBorder="1" applyAlignment="1" applyProtection="1">
      <alignment horizontal="center" vertical="center"/>
      <protection locked="0"/>
    </xf>
    <xf numFmtId="170" fontId="17" fillId="0" borderId="1" xfId="3" applyNumberFormat="1" applyFont="1" applyFill="1" applyBorder="1" applyAlignment="1" applyProtection="1">
      <alignment horizontal="center"/>
    </xf>
    <xf numFmtId="170" fontId="6" fillId="0" borderId="1" xfId="0" applyNumberFormat="1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79" fontId="11" fillId="0" borderId="1" xfId="1" applyNumberFormat="1" applyFont="1" applyFill="1" applyBorder="1" applyAlignment="1" applyProtection="1">
      <alignment horizontal="right" vertical="top" wrapText="1"/>
    </xf>
    <xf numFmtId="168" fontId="11" fillId="0" borderId="1" xfId="1" applyFont="1" applyFill="1" applyBorder="1" applyAlignment="1" applyProtection="1">
      <alignment horizontal="right" vertical="top" wrapText="1"/>
    </xf>
    <xf numFmtId="179" fontId="18" fillId="5" borderId="1" xfId="1" applyNumberFormat="1" applyFont="1" applyFill="1" applyBorder="1" applyAlignment="1" applyProtection="1">
      <alignment vertical="top" wrapText="1"/>
    </xf>
    <xf numFmtId="168" fontId="18" fillId="5" borderId="1" xfId="1" applyFont="1" applyFill="1" applyBorder="1" applyAlignment="1" applyProtection="1">
      <alignment vertical="top" wrapText="1"/>
    </xf>
    <xf numFmtId="179" fontId="11" fillId="7" borderId="1" xfId="1" applyNumberFormat="1" applyFont="1" applyFill="1" applyBorder="1" applyAlignment="1" applyProtection="1">
      <alignment horizontal="center" vertical="center"/>
      <protection locked="0"/>
    </xf>
    <xf numFmtId="180" fontId="11" fillId="7" borderId="1" xfId="1" applyNumberFormat="1" applyFont="1" applyFill="1" applyBorder="1" applyAlignment="1" applyProtection="1">
      <alignment horizontal="center" vertical="center"/>
      <protection locked="0"/>
    </xf>
    <xf numFmtId="179" fontId="11" fillId="0" borderId="1" xfId="1" applyNumberFormat="1" applyFont="1" applyFill="1" applyBorder="1" applyAlignment="1" applyProtection="1">
      <alignment vertical="top" wrapText="1"/>
    </xf>
    <xf numFmtId="168" fontId="11" fillId="0" borderId="1" xfId="1" applyFont="1" applyFill="1" applyBorder="1" applyAlignment="1" applyProtection="1">
      <alignment vertical="top" wrapText="1"/>
    </xf>
    <xf numFmtId="179" fontId="6" fillId="6" borderId="1" xfId="1" applyNumberFormat="1" applyFont="1" applyFill="1" applyBorder="1" applyAlignment="1" applyProtection="1">
      <alignment horizontal="center" vertical="center"/>
      <protection locked="0"/>
    </xf>
    <xf numFmtId="181" fontId="6" fillId="6" borderId="1" xfId="1" applyNumberFormat="1" applyFont="1" applyFill="1" applyBorder="1" applyAlignment="1" applyProtection="1">
      <alignment horizontal="center" vertical="center"/>
      <protection locked="0"/>
    </xf>
    <xf numFmtId="169" fontId="2" fillId="0" borderId="0" xfId="0" applyNumberFormat="1" applyFont="1" applyBorder="1" applyAlignment="1" applyProtection="1">
      <alignment horizontal="center" vertical="center"/>
      <protection locked="0"/>
    </xf>
    <xf numFmtId="169" fontId="2" fillId="0" borderId="0" xfId="0" applyNumberFormat="1" applyFont="1" applyAlignment="1" applyProtection="1">
      <alignment horizontal="center" vertical="center"/>
      <protection locked="0"/>
    </xf>
    <xf numFmtId="169" fontId="18" fillId="5" borderId="1" xfId="1" applyNumberFormat="1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" fontId="19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0" fontId="1" fillId="0" borderId="0" xfId="3" applyNumberFormat="1"/>
    <xf numFmtId="167" fontId="4" fillId="4" borderId="1" xfId="3" applyNumberFormat="1" applyFont="1" applyFill="1" applyBorder="1" applyAlignment="1" applyProtection="1">
      <alignment horizontal="center" vertical="center"/>
      <protection locked="0"/>
    </xf>
    <xf numFmtId="167" fontId="5" fillId="5" borderId="1" xfId="3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Border="1" applyAlignment="1">
      <alignment horizontal="center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165" fontId="23" fillId="3" borderId="1" xfId="0" applyNumberFormat="1" applyFont="1" applyFill="1" applyBorder="1" applyAlignment="1" applyProtection="1">
      <alignment horizontal="center" vertical="center"/>
      <protection locked="0"/>
    </xf>
    <xf numFmtId="10" fontId="24" fillId="0" borderId="1" xfId="3" applyNumberFormat="1" applyFont="1" applyBorder="1" applyAlignment="1" applyProtection="1">
      <alignment horizontal="center" vertical="center"/>
      <protection locked="0"/>
    </xf>
    <xf numFmtId="9" fontId="25" fillId="3" borderId="4" xfId="3" applyNumberFormat="1" applyFont="1" applyFill="1" applyBorder="1" applyAlignment="1" applyProtection="1">
      <alignment horizontal="center" vertical="center"/>
      <protection locked="0"/>
    </xf>
    <xf numFmtId="10" fontId="2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170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left" vertical="center" indent="1"/>
      <protection locked="0"/>
    </xf>
    <xf numFmtId="10" fontId="11" fillId="7" borderId="1" xfId="0" applyNumberFormat="1" applyFont="1" applyFill="1" applyBorder="1" applyAlignment="1" applyProtection="1">
      <alignment horizontal="center" vertical="center"/>
      <protection locked="0"/>
    </xf>
    <xf numFmtId="10" fontId="2" fillId="6" borderId="1" xfId="3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 indent="1"/>
      <protection locked="0"/>
    </xf>
    <xf numFmtId="175" fontId="2" fillId="6" borderId="1" xfId="3" applyNumberFormat="1" applyFont="1" applyFill="1" applyBorder="1" applyAlignment="1" applyProtection="1">
      <alignment horizontal="center" vertical="center"/>
      <protection locked="0"/>
    </xf>
    <xf numFmtId="170" fontId="2" fillId="0" borderId="1" xfId="3" applyNumberFormat="1" applyFont="1" applyFill="1" applyBorder="1" applyAlignment="1" applyProtection="1">
      <alignment horizontal="center" vertical="center"/>
    </xf>
    <xf numFmtId="170" fontId="2" fillId="0" borderId="1" xfId="0" applyNumberFormat="1" applyFont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70" fontId="5" fillId="0" borderId="1" xfId="3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182" fontId="26" fillId="0" borderId="0" xfId="0" applyNumberFormat="1" applyFont="1" applyAlignment="1" applyProtection="1">
      <alignment horizontal="center" vertical="center"/>
      <protection locked="0"/>
    </xf>
    <xf numFmtId="10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70" fontId="13" fillId="6" borderId="1" xfId="3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>
      <alignment vertical="center"/>
    </xf>
    <xf numFmtId="0" fontId="0" fillId="0" borderId="0" xfId="0" applyFill="1"/>
    <xf numFmtId="0" fontId="28" fillId="0" borderId="0" xfId="0" applyFont="1"/>
    <xf numFmtId="0" fontId="2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84" fontId="2" fillId="9" borderId="1" xfId="0" applyNumberFormat="1" applyFont="1" applyFill="1" applyBorder="1" applyAlignment="1">
      <alignment horizontal="left" vertical="center" indent="1"/>
    </xf>
    <xf numFmtId="10" fontId="2" fillId="0" borderId="1" xfId="0" applyNumberFormat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indent="1"/>
    </xf>
    <xf numFmtId="184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3" fontId="5" fillId="6" borderId="7" xfId="0" applyNumberFormat="1" applyFont="1" applyFill="1" applyBorder="1" applyAlignment="1">
      <alignment horizontal="center" vertical="center"/>
    </xf>
    <xf numFmtId="185" fontId="2" fillId="0" borderId="0" xfId="0" applyNumberFormat="1" applyFont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84" fontId="2" fillId="0" borderId="0" xfId="0" applyNumberFormat="1" applyFont="1" applyAlignment="1">
      <alignment horizontal="center" vertical="center"/>
    </xf>
    <xf numFmtId="185" fontId="4" fillId="4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3" fontId="2" fillId="6" borderId="1" xfId="0" applyNumberFormat="1" applyFont="1" applyFill="1" applyBorder="1" applyAlignment="1">
      <alignment horizontal="center" vertical="center"/>
    </xf>
    <xf numFmtId="172" fontId="2" fillId="6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9" fontId="1" fillId="0" borderId="0" xfId="1" applyNumberFormat="1" applyAlignment="1">
      <alignment horizontal="center" vertical="center"/>
    </xf>
    <xf numFmtId="186" fontId="30" fillId="4" borderId="1" xfId="0" applyNumberFormat="1" applyFont="1" applyFill="1" applyBorder="1" applyAlignment="1">
      <alignment horizontal="center" vertical="center"/>
    </xf>
    <xf numFmtId="186" fontId="4" fillId="4" borderId="1" xfId="0" applyNumberFormat="1" applyFont="1" applyFill="1" applyBorder="1" applyAlignment="1">
      <alignment horizontal="center" vertical="center"/>
    </xf>
    <xf numFmtId="186" fontId="11" fillId="5" borderId="1" xfId="0" applyNumberFormat="1" applyFont="1" applyFill="1" applyBorder="1" applyAlignment="1">
      <alignment horizontal="center" vertical="center"/>
    </xf>
    <xf numFmtId="186" fontId="2" fillId="6" borderId="1" xfId="0" applyNumberFormat="1" applyFont="1" applyFill="1" applyBorder="1" applyAlignment="1">
      <alignment horizontal="center" vertical="center"/>
    </xf>
    <xf numFmtId="172" fontId="6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87" fontId="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84" fontId="27" fillId="0" borderId="0" xfId="0" applyNumberFormat="1" applyFont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6" fillId="3" borderId="1" xfId="0" applyFont="1" applyFill="1" applyBorder="1" applyAlignment="1" applyProtection="1">
      <alignment horizontal="left" vertical="center" indent="2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 indent="1"/>
      <protection locked="0"/>
    </xf>
    <xf numFmtId="0" fontId="31" fillId="0" borderId="0" xfId="0" applyFont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Composição da Tarifa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19-4DD5-9841-E4AE735DE0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19-4DD5-9841-E4AE735DE0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19-4DD5-9841-E4AE735DE0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019-4DD5-9841-E4AE735DE030}"/>
              </c:ext>
            </c:extLst>
          </c:dPt>
          <c:dLbls>
            <c:dLbl>
              <c:idx val="0"/>
              <c:layout>
                <c:manualLayout>
                  <c:x val="0.11853433945756781"/>
                  <c:y val="-2.544655876348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9-4DD5-9841-E4AE735DE030}"/>
                </c:ext>
              </c:extLst>
            </c:dLbl>
            <c:dLbl>
              <c:idx val="1"/>
              <c:layout>
                <c:manualLayout>
                  <c:x val="-4.0119641294838145E-2"/>
                  <c:y val="5.427967337416156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19-4DD5-9841-E4AE735DE030}"/>
                </c:ext>
              </c:extLst>
            </c:dLbl>
            <c:dLbl>
              <c:idx val="2"/>
              <c:layout>
                <c:manualLayout>
                  <c:x val="-2.6256014873140856E-2"/>
                  <c:y val="-5.3516695829687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19-4DD5-9841-E4AE735DE030}"/>
                </c:ext>
              </c:extLst>
            </c:dLbl>
            <c:dLbl>
              <c:idx val="3"/>
              <c:layout>
                <c:manualLayout>
                  <c:x val="2.6558508311461067E-2"/>
                  <c:y val="-3.13801399825021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19-4DD5-9841-E4AE735DE0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('IRT-Gráficos'!$B$3,'IRT-Gráficos'!$B$4,'IRT-Gráficos'!$B$5,'IRT-Gráficos'!$B$9)</c:f>
              <c:strCache>
                <c:ptCount val="4"/>
                <c:pt idx="0">
                  <c:v>TB </c:v>
                </c:pt>
                <c:pt idx="1">
                  <c:v>Diferimento</c:v>
                </c:pt>
                <c:pt idx="2">
                  <c:v>TA</c:v>
                </c:pt>
                <c:pt idx="3">
                  <c:v>TF</c:v>
                </c:pt>
              </c:strCache>
            </c:strRef>
          </c:cat>
          <c:val>
            <c:numRef>
              <c:f>('IRT-Gráficos'!$D$3,'IRT-Gráficos'!$D$4,'IRT-Gráficos'!$D$5,'IRT-Gráficos'!$D$9)</c:f>
              <c:numCache>
                <c:formatCode>0.0000</c:formatCode>
                <c:ptCount val="4"/>
                <c:pt idx="0">
                  <c:v>4.3095825431653019</c:v>
                </c:pt>
                <c:pt idx="1">
                  <c:v>0.237983104933911</c:v>
                </c:pt>
                <c:pt idx="2">
                  <c:v>0.76867846931776973</c:v>
                </c:pt>
                <c:pt idx="3">
                  <c:v>0.12775964289323913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19-4DD5-9841-E4AE735DE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Composição da Tarifa com TA + TB + Diferimento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E2-4627-BC01-2A7DD0C08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E2-4627-BC01-2A7DD0C08B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E2-4627-BC01-2A7DD0C08BFF}"/>
              </c:ext>
            </c:extLst>
          </c:dPt>
          <c:dLbls>
            <c:dLbl>
              <c:idx val="0"/>
              <c:layout>
                <c:manualLayout>
                  <c:x val="0.16144291338582678"/>
                  <c:y val="-0.174752114319043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E2-4627-BC01-2A7DD0C08BFF}"/>
                </c:ext>
              </c:extLst>
            </c:dLbl>
            <c:dLbl>
              <c:idx val="1"/>
              <c:layout>
                <c:manualLayout>
                  <c:x val="-5.6468066491688541E-2"/>
                  <c:y val="1.3920968212306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E2-4627-BC01-2A7DD0C08BFF}"/>
                </c:ext>
              </c:extLst>
            </c:dLbl>
            <c:dLbl>
              <c:idx val="2"/>
              <c:layout>
                <c:manualLayout>
                  <c:x val="-1.1859142607174104E-2"/>
                  <c:y val="-6.6394721493146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E2-4627-BC01-2A7DD0C08B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'IRT-Gráficos'!$B$18:$B$20</c:f>
              <c:strCache>
                <c:ptCount val="3"/>
                <c:pt idx="0">
                  <c:v>TB </c:v>
                </c:pt>
                <c:pt idx="1">
                  <c:v>Diferimento</c:v>
                </c:pt>
                <c:pt idx="2">
                  <c:v>TA</c:v>
                </c:pt>
              </c:strCache>
            </c:strRef>
          </c:cat>
          <c:val>
            <c:numRef>
              <c:f>'IRT-Gráficos'!$D$18:$D$20</c:f>
              <c:numCache>
                <c:formatCode>0.0000</c:formatCode>
                <c:ptCount val="3"/>
                <c:pt idx="0">
                  <c:v>4.4573825432297527</c:v>
                </c:pt>
                <c:pt idx="1">
                  <c:v>0.32415658074029546</c:v>
                </c:pt>
                <c:pt idx="2">
                  <c:v>0.89643811221100878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E2-4627-BC01-2A7DD0C08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Parcela 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94-4E5C-9B1F-7EDBC70A37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94-4E5C-9B1F-7EDBC70A37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94-4E5C-9B1F-7EDBC70A371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'Conta Gráfica'!$B$43:$B$45</c:f>
              <c:strCache>
                <c:ptCount val="3"/>
                <c:pt idx="0">
                  <c:v>Energia</c:v>
                </c:pt>
                <c:pt idx="1">
                  <c:v>Químicos</c:v>
                </c:pt>
                <c:pt idx="2">
                  <c:v>Encargos</c:v>
                </c:pt>
              </c:strCache>
            </c:strRef>
          </c:cat>
          <c:val>
            <c:numRef>
              <c:f>'Conta Gráfica'!$C$43:$C$45</c:f>
              <c:numCache>
                <c:formatCode>#,##0</c:formatCode>
                <c:ptCount val="3"/>
                <c:pt idx="0">
                  <c:v>47035106.313436948</c:v>
                </c:pt>
                <c:pt idx="1">
                  <c:v>36070933.503835917</c:v>
                </c:pt>
                <c:pt idx="2">
                  <c:v>35415627.296810523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4-4E5C-9B1F-7EDBC70A3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ENCARGOS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cat>
            <c:numRef>
              <c:f>'Conta Gráfica'!$C$25:$O$25</c:f>
              <c:numCache>
                <c:formatCode>mm/yy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'Conta Gráfica'!$C$26:$O$26</c:f>
              <c:numCache>
                <c:formatCode>#,##0</c:formatCode>
                <c:ptCount val="13"/>
                <c:pt idx="0">
                  <c:v>8351145.1500000013</c:v>
                </c:pt>
                <c:pt idx="1">
                  <c:v>10930050.929999998</c:v>
                </c:pt>
                <c:pt idx="2">
                  <c:v>36366027.159999996</c:v>
                </c:pt>
                <c:pt idx="3">
                  <c:v>6160736.9299999988</c:v>
                </c:pt>
                <c:pt idx="4">
                  <c:v>3791315.8606451591</c:v>
                </c:pt>
                <c:pt idx="5">
                  <c:v>3554358.6193548371</c:v>
                </c:pt>
                <c:pt idx="6">
                  <c:v>6578709.9000000022</c:v>
                </c:pt>
                <c:pt idx="7">
                  <c:v>7096612.8099999968</c:v>
                </c:pt>
                <c:pt idx="8">
                  <c:v>7395818.2500000019</c:v>
                </c:pt>
                <c:pt idx="9">
                  <c:v>7435975.8199999975</c:v>
                </c:pt>
                <c:pt idx="10">
                  <c:v>7200711.4300000016</c:v>
                </c:pt>
                <c:pt idx="11">
                  <c:v>7498751.7400000002</c:v>
                </c:pt>
                <c:pt idx="12">
                  <c:v>7137413.3899999969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2-407D-9C86-A266E9265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134431"/>
        <c:axId val="1"/>
      </c:areaChart>
      <c:dateAx>
        <c:axId val="390134431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9013443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28575</xdr:rowOff>
    </xdr:from>
    <xdr:to>
      <xdr:col>13</xdr:col>
      <xdr:colOff>542925</xdr:colOff>
      <xdr:row>15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15</xdr:row>
      <xdr:rowOff>142875</xdr:rowOff>
    </xdr:from>
    <xdr:to>
      <xdr:col>13</xdr:col>
      <xdr:colOff>542925</xdr:colOff>
      <xdr:row>33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41</xdr:row>
      <xdr:rowOff>171450</xdr:rowOff>
    </xdr:from>
    <xdr:to>
      <xdr:col>9</xdr:col>
      <xdr:colOff>657225</xdr:colOff>
      <xdr:row>61</xdr:row>
      <xdr:rowOff>123825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42</xdr:row>
      <xdr:rowOff>0</xdr:rowOff>
    </xdr:from>
    <xdr:to>
      <xdr:col>16</xdr:col>
      <xdr:colOff>533400</xdr:colOff>
      <xdr:row>61</xdr:row>
      <xdr:rowOff>152400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G65536"/>
  <sheetViews>
    <sheetView showGridLines="0" tabSelected="1" zoomScaleNormal="100" workbookViewId="0"/>
  </sheetViews>
  <sheetFormatPr defaultColWidth="16.5703125" defaultRowHeight="0" customHeight="1" zeroHeight="1" x14ac:dyDescent="0.25"/>
  <cols>
    <col min="1" max="1" width="10.140625" style="2" customWidth="1"/>
    <col min="2" max="2" width="19.5703125" style="2" bestFit="1" customWidth="1"/>
    <col min="3" max="3" width="17.42578125" style="2" customWidth="1"/>
    <col min="4" max="7" width="17.7109375" style="2" customWidth="1"/>
    <col min="8" max="16384" width="16.5703125" style="1"/>
  </cols>
  <sheetData>
    <row r="1" spans="1:7" ht="12.75" customHeight="1" x14ac:dyDescent="0.25">
      <c r="A1" s="78" t="s">
        <v>49</v>
      </c>
      <c r="B1" s="158"/>
      <c r="C1" s="158"/>
      <c r="D1" s="158"/>
    </row>
    <row r="2" spans="1:7" ht="13.5" customHeight="1" x14ac:dyDescent="0.25">
      <c r="B2" s="158"/>
      <c r="C2" s="158"/>
      <c r="D2" s="158"/>
    </row>
    <row r="3" spans="1:7" s="75" customFormat="1" ht="17.45" customHeight="1" x14ac:dyDescent="0.25">
      <c r="A3" s="2"/>
      <c r="B3" s="2"/>
      <c r="C3" s="2"/>
      <c r="D3" s="51">
        <v>2017</v>
      </c>
      <c r="E3" s="77">
        <v>2018</v>
      </c>
      <c r="F3" s="77">
        <v>2019</v>
      </c>
      <c r="G3" s="76"/>
    </row>
    <row r="4" spans="1:7" s="72" customFormat="1" ht="13.5" customHeight="1" x14ac:dyDescent="0.25">
      <c r="A4" s="48"/>
      <c r="B4" s="159" t="s">
        <v>48</v>
      </c>
      <c r="C4" s="159"/>
      <c r="D4" s="74">
        <v>876133319.02195799</v>
      </c>
      <c r="E4" s="74">
        <v>888476162</v>
      </c>
      <c r="F4" s="74">
        <f>'Conta Gráfica'!P5</f>
        <v>927692536</v>
      </c>
      <c r="G4" s="73"/>
    </row>
    <row r="5" spans="1:7" ht="12.75" customHeight="1" x14ac:dyDescent="0.25">
      <c r="A5" s="48"/>
      <c r="B5" s="159" t="s">
        <v>47</v>
      </c>
      <c r="C5" s="159"/>
      <c r="D5" s="71">
        <v>508164410.24453002</v>
      </c>
      <c r="E5" s="71">
        <f>SUM(E6:E8)</f>
        <v>606333234.75</v>
      </c>
      <c r="F5" s="70">
        <f>SUM(F6:F8)</f>
        <v>713097278.56999993</v>
      </c>
    </row>
    <row r="6" spans="1:7" ht="12.75" customHeight="1" x14ac:dyDescent="0.25">
      <c r="A6" s="48"/>
      <c r="B6" s="160" t="s">
        <v>46</v>
      </c>
      <c r="C6" s="160"/>
      <c r="D6" s="67">
        <v>378812660.42000002</v>
      </c>
      <c r="E6" s="69">
        <v>424920133.41000003</v>
      </c>
      <c r="F6" s="68">
        <f>'Conta Gráfica'!P4</f>
        <v>473703707.31999993</v>
      </c>
    </row>
    <row r="7" spans="1:7" ht="12.75" customHeight="1" x14ac:dyDescent="0.25">
      <c r="A7" s="48"/>
      <c r="B7" s="160" t="s">
        <v>45</v>
      </c>
      <c r="C7" s="160"/>
      <c r="D7" s="67">
        <v>82291696.769999996</v>
      </c>
      <c r="E7" s="69">
        <v>79227082.659999996</v>
      </c>
      <c r="F7" s="68">
        <f>'Conta Gráfica'!P15</f>
        <v>119895943.26000002</v>
      </c>
    </row>
    <row r="8" spans="1:7" ht="13.5" customHeight="1" x14ac:dyDescent="0.25">
      <c r="A8" s="48"/>
      <c r="B8" s="160" t="s">
        <v>44</v>
      </c>
      <c r="C8" s="160"/>
      <c r="D8" s="67">
        <v>47060053.0545296</v>
      </c>
      <c r="E8" s="67">
        <v>102186018.68000001</v>
      </c>
      <c r="F8" s="66">
        <f>'Conta Gráfica'!P26</f>
        <v>119497627.98999999</v>
      </c>
    </row>
    <row r="9" spans="1:7" ht="12.75" customHeight="1" x14ac:dyDescent="0.25">
      <c r="A9" s="48"/>
      <c r="B9" s="159" t="s">
        <v>43</v>
      </c>
      <c r="C9" s="159"/>
      <c r="D9" s="65">
        <v>-8733220.7274687998</v>
      </c>
      <c r="E9" s="65">
        <f>SUM(E10:E12)</f>
        <v>87824769.560000002</v>
      </c>
      <c r="F9" s="64">
        <f>SUM(F10:F12)</f>
        <v>118521667.11408339</v>
      </c>
    </row>
    <row r="10" spans="1:7" ht="15" customHeight="1" x14ac:dyDescent="0.25">
      <c r="A10" s="48"/>
      <c r="B10" s="160" t="s">
        <v>42</v>
      </c>
      <c r="C10" s="160"/>
      <c r="D10" s="63">
        <v>-21970704.132461999</v>
      </c>
      <c r="E10" s="63">
        <v>35815234.090000004</v>
      </c>
      <c r="F10" s="62">
        <f>'Conta Gráfica'!P10</f>
        <v>47035106.313436948</v>
      </c>
      <c r="G10" s="1"/>
    </row>
    <row r="11" spans="1:7" ht="13.5" customHeight="1" x14ac:dyDescent="0.25">
      <c r="A11" s="48"/>
      <c r="B11" s="160" t="s">
        <v>41</v>
      </c>
      <c r="C11" s="160"/>
      <c r="D11" s="63">
        <v>10300684.879256001</v>
      </c>
      <c r="E11" s="63">
        <v>-962455.17</v>
      </c>
      <c r="F11" s="62">
        <f>'Conta Gráfica'!P21</f>
        <v>36070933.503835917</v>
      </c>
      <c r="G11" s="1"/>
    </row>
    <row r="12" spans="1:7" ht="13.5" customHeight="1" x14ac:dyDescent="0.25">
      <c r="A12" s="48"/>
      <c r="B12" s="160" t="s">
        <v>40</v>
      </c>
      <c r="C12" s="160"/>
      <c r="D12" s="63">
        <v>2936798.52573724</v>
      </c>
      <c r="E12" s="63">
        <v>52971990.640000001</v>
      </c>
      <c r="F12" s="62">
        <f>'Conta Gráfica'!P32</f>
        <v>35415627.296810523</v>
      </c>
      <c r="G12" s="1"/>
    </row>
    <row r="13" spans="1:7" ht="15.75" customHeight="1" x14ac:dyDescent="0.25">
      <c r="E13"/>
      <c r="F13"/>
      <c r="G13" s="61"/>
    </row>
    <row r="14" spans="1:7" ht="28.5" customHeight="1" x14ac:dyDescent="0.25">
      <c r="D14" s="60">
        <v>2017</v>
      </c>
      <c r="E14" s="60">
        <v>2018</v>
      </c>
      <c r="F14" s="59" t="s">
        <v>39</v>
      </c>
    </row>
    <row r="15" spans="1:7" ht="15.75" customHeight="1" x14ac:dyDescent="0.25">
      <c r="B15" s="163" t="s">
        <v>37</v>
      </c>
      <c r="C15" s="163"/>
      <c r="D15" s="58">
        <f>'Cesta Índices IrB'!$C$14</f>
        <v>1.1014387633798733E-2</v>
      </c>
      <c r="E15" s="57">
        <f>'Cesta Índices IrB'!E14</f>
        <v>5.3277302000274217E-2</v>
      </c>
      <c r="F15" s="57">
        <f>'Cesta Índices IrB'!G14</f>
        <v>4.3669901619459099E-2</v>
      </c>
    </row>
    <row r="16" spans="1:7" ht="13.5" customHeight="1" x14ac:dyDescent="0.25">
      <c r="B16" s="163" t="s">
        <v>36</v>
      </c>
      <c r="C16" s="163"/>
      <c r="D16" s="56">
        <f>'Cesta Índices IrB'!$C$15</f>
        <v>7.7000000000000002E-3</v>
      </c>
      <c r="E16" s="56">
        <f>'Cesta Índices IrB'!$C$15</f>
        <v>7.7000000000000002E-3</v>
      </c>
      <c r="F16" s="56">
        <f>'Cesta Índices IrB'!$C$15</f>
        <v>7.7000000000000002E-3</v>
      </c>
    </row>
    <row r="17" spans="1:7" ht="15" customHeight="1" x14ac:dyDescent="0.25">
      <c r="A17"/>
      <c r="B17" s="55"/>
      <c r="C17" s="54"/>
      <c r="D17" s="54"/>
      <c r="E17" s="54"/>
      <c r="F17" s="54"/>
    </row>
    <row r="18" spans="1:7" ht="15" customHeight="1" x14ac:dyDescent="0.25">
      <c r="B18" s="161" t="s">
        <v>35</v>
      </c>
      <c r="C18" s="161"/>
      <c r="D18" s="161"/>
      <c r="E18" s="53"/>
    </row>
    <row r="19" spans="1:7" ht="14.25" customHeight="1" x14ac:dyDescent="0.25">
      <c r="B19" s="161"/>
      <c r="C19" s="161"/>
      <c r="D19" s="161"/>
      <c r="E19"/>
      <c r="F19" s="52"/>
      <c r="G19" s="52"/>
    </row>
    <row r="20" spans="1:7" ht="52.5" customHeight="1" x14ac:dyDescent="0.25">
      <c r="C20" s="51">
        <v>2017</v>
      </c>
      <c r="D20" s="51">
        <v>2018</v>
      </c>
      <c r="E20" s="13">
        <v>2019</v>
      </c>
      <c r="F20" s="13" t="s">
        <v>34</v>
      </c>
    </row>
    <row r="21" spans="1:7" ht="39" customHeight="1" x14ac:dyDescent="0.25">
      <c r="A21"/>
      <c r="B21" s="8" t="s">
        <v>33</v>
      </c>
      <c r="C21" s="47">
        <v>3.8031603827844802</v>
      </c>
      <c r="D21" s="47">
        <f>C21*(1+D15-D16)</f>
        <v>3.8157655305265341</v>
      </c>
      <c r="E21" s="14">
        <v>4.1599495665158166</v>
      </c>
      <c r="F21" s="14">
        <f>E21*(1+F15-F16)</f>
        <v>4.3095825431653019</v>
      </c>
    </row>
    <row r="22" spans="1:7" ht="17.45" customHeight="1" x14ac:dyDescent="0.25">
      <c r="A22"/>
      <c r="B22" s="33" t="s">
        <v>32</v>
      </c>
      <c r="C22" s="50"/>
      <c r="D22" s="47">
        <v>0.19706239847894599</v>
      </c>
      <c r="E22" s="47">
        <v>0.237983104933911</v>
      </c>
      <c r="F22" s="47">
        <f>E22</f>
        <v>0.237983104933911</v>
      </c>
    </row>
    <row r="23" spans="1:7" ht="17.45" customHeight="1" x14ac:dyDescent="0.25">
      <c r="A23"/>
      <c r="B23" s="33" t="s">
        <v>31</v>
      </c>
      <c r="C23" s="50">
        <f t="shared" ref="C23:E23" si="0">SUM(C24:C26)</f>
        <v>0.59081199665858475</v>
      </c>
      <c r="D23" s="47">
        <f t="shared" si="0"/>
        <v>0.58000808691056505</v>
      </c>
      <c r="E23" s="47">
        <f t="shared" si="0"/>
        <v>0.68244175891575587</v>
      </c>
      <c r="F23" s="47">
        <f>SUM(F24:F26)</f>
        <v>0.76867846931776973</v>
      </c>
    </row>
    <row r="24" spans="1:7" ht="15.75" customHeight="1" x14ac:dyDescent="0.25">
      <c r="A24"/>
      <c r="B24" s="46" t="s">
        <v>30</v>
      </c>
      <c r="C24" s="49">
        <v>0.44673653795681201</v>
      </c>
      <c r="D24" s="29">
        <f>D6/D4</f>
        <v>0.43236874137246006</v>
      </c>
      <c r="E24" s="29">
        <f>E6/E4</f>
        <v>0.47825721339949695</v>
      </c>
      <c r="F24" s="29">
        <f>F6/F4</f>
        <v>0.51062576116274794</v>
      </c>
    </row>
    <row r="25" spans="1:7" ht="15.75" customHeight="1" x14ac:dyDescent="0.25">
      <c r="A25"/>
      <c r="B25" s="46" t="s">
        <v>29</v>
      </c>
      <c r="C25" s="49">
        <v>8.4285337763306198E-2</v>
      </c>
      <c r="D25" s="29">
        <f>D7/D4</f>
        <v>9.3925998456334897E-2</v>
      </c>
      <c r="E25" s="29">
        <f>E7/E4</f>
        <v>8.9171872075505379E-2</v>
      </c>
      <c r="F25" s="29">
        <f>F7/F4</f>
        <v>0.12924103472575532</v>
      </c>
    </row>
    <row r="26" spans="1:7" ht="15.75" customHeight="1" x14ac:dyDescent="0.25">
      <c r="A26"/>
      <c r="B26" s="46" t="s">
        <v>28</v>
      </c>
      <c r="C26" s="49">
        <v>5.9790120938466598E-2</v>
      </c>
      <c r="D26" s="29">
        <f>D8/D4</f>
        <v>5.3713347081770058E-2</v>
      </c>
      <c r="E26" s="29">
        <f>E8/E4</f>
        <v>0.1150126734407535</v>
      </c>
      <c r="F26" s="29">
        <f>F8/F4</f>
        <v>0.12881167342926644</v>
      </c>
    </row>
    <row r="27" spans="1:7" ht="17.45" customHeight="1" x14ac:dyDescent="0.25">
      <c r="A27" s="48"/>
      <c r="B27" s="33" t="s">
        <v>27</v>
      </c>
      <c r="C27" s="32">
        <v>0</v>
      </c>
      <c r="D27" s="47">
        <f>SUM(D28:D30)</f>
        <v>-9.9679130308818701E-3</v>
      </c>
      <c r="E27" s="47">
        <f>SUM(E28:E30)</f>
        <v>9.8848762990221911E-2</v>
      </c>
      <c r="F27" s="47">
        <f>SUM(F28:F30)</f>
        <v>0.12775964289323913</v>
      </c>
    </row>
    <row r="28" spans="1:7" ht="15.75" customHeight="1" x14ac:dyDescent="0.25">
      <c r="A28"/>
      <c r="B28" s="46" t="s">
        <v>26</v>
      </c>
      <c r="C28" s="45"/>
      <c r="D28" s="29">
        <f>D10/D4</f>
        <v>-2.5076896010516134E-2</v>
      </c>
      <c r="E28" s="29">
        <f>E10/E4</f>
        <v>4.0310855396928483E-2</v>
      </c>
      <c r="F28" s="29">
        <f>F10/F4</f>
        <v>5.070118006580248E-2</v>
      </c>
    </row>
    <row r="29" spans="1:7" ht="15.75" customHeight="1" x14ac:dyDescent="0.25">
      <c r="A29"/>
      <c r="B29" s="46" t="s">
        <v>25</v>
      </c>
      <c r="C29" s="45"/>
      <c r="D29" s="29">
        <f>D11/D4</f>
        <v>1.175698339010189E-2</v>
      </c>
      <c r="E29" s="29">
        <f>E11/E4</f>
        <v>-1.0832650454385517E-3</v>
      </c>
      <c r="F29" s="29">
        <f>F11/F4</f>
        <v>3.8882422897747577E-2</v>
      </c>
    </row>
    <row r="30" spans="1:7" ht="15.75" customHeight="1" x14ac:dyDescent="0.25">
      <c r="A30"/>
      <c r="B30" s="46" t="s">
        <v>24</v>
      </c>
      <c r="C30" s="45"/>
      <c r="D30" s="29">
        <f>D12/D4</f>
        <v>3.3519995895323743E-3</v>
      </c>
      <c r="E30" s="29">
        <f>E12/E4</f>
        <v>5.9621172638731977E-2</v>
      </c>
      <c r="F30" s="29">
        <f>F12/F4</f>
        <v>3.8176039929689078E-2</v>
      </c>
    </row>
    <row r="31" spans="1:7" ht="3.75" customHeight="1" x14ac:dyDescent="0.25">
      <c r="A31"/>
      <c r="B31" s="8"/>
      <c r="C31" s="44"/>
      <c r="D31" s="43"/>
      <c r="E31" s="42"/>
      <c r="F31" s="41"/>
    </row>
    <row r="32" spans="1:7" ht="15.75" customHeight="1" x14ac:dyDescent="0.25">
      <c r="A32"/>
      <c r="B32" s="23" t="s">
        <v>19</v>
      </c>
      <c r="C32" s="22">
        <f>C21+C23</f>
        <v>4.3939723794430652</v>
      </c>
      <c r="D32" s="21">
        <f>SUM(D28:D30,D24:D26,D21+D22,D31,)</f>
        <v>4.582868102885163</v>
      </c>
      <c r="E32" s="17">
        <f>E21+E22+E23+E27+E31</f>
        <v>5.1792231933557051</v>
      </c>
      <c r="F32" s="17">
        <f>F21+F22+F23+F27+F31</f>
        <v>5.4440037603102223</v>
      </c>
    </row>
    <row r="33" spans="1:7" ht="16.5" customHeight="1" x14ac:dyDescent="0.25">
      <c r="A33"/>
      <c r="B33" s="20" t="s">
        <v>18</v>
      </c>
      <c r="C33" s="19"/>
      <c r="D33" s="40">
        <f>D32/C32-1</f>
        <v>4.2989738471237438E-2</v>
      </c>
      <c r="E33" s="12">
        <f>E32/D39-1</f>
        <v>0.12129442723810713</v>
      </c>
      <c r="F33" s="12" t="str">
        <f>TEXT(F32/E32-1,"0,00000%")&amp;"¹"</f>
        <v>5,11236%¹</v>
      </c>
    </row>
    <row r="34" spans="1:7" ht="12.75" customHeight="1" x14ac:dyDescent="0.25">
      <c r="B34" s="6" t="s">
        <v>83</v>
      </c>
      <c r="D34" s="39"/>
      <c r="F34" s="38"/>
    </row>
    <row r="35" spans="1:7" ht="12.75" customHeight="1" x14ac:dyDescent="0.25">
      <c r="C35" s="37"/>
      <c r="D35" s="36"/>
      <c r="F35" s="35"/>
    </row>
    <row r="36" spans="1:7" ht="15" customHeight="1" x14ac:dyDescent="0.25">
      <c r="B36" s="162" t="s">
        <v>23</v>
      </c>
      <c r="C36" s="162"/>
      <c r="D36" s="162"/>
      <c r="F36" s="34"/>
    </row>
    <row r="37" spans="1:7" s="28" customFormat="1" ht="15" customHeight="1" x14ac:dyDescent="0.25">
      <c r="A37" s="2"/>
      <c r="B37" s="33" t="s">
        <v>22</v>
      </c>
      <c r="C37" s="32" t="s">
        <v>21</v>
      </c>
      <c r="D37" s="32" t="s">
        <v>20</v>
      </c>
      <c r="E37" s="2"/>
      <c r="F37" s="31"/>
      <c r="G37" s="30"/>
    </row>
    <row r="38" spans="1:7" ht="13.5" customHeight="1" x14ac:dyDescent="0.25">
      <c r="B38" s="27"/>
      <c r="C38" s="26">
        <v>31623119</v>
      </c>
      <c r="D38" s="25">
        <f>0.0361</f>
        <v>3.61E-2</v>
      </c>
      <c r="E38" s="24"/>
    </row>
    <row r="39" spans="1:7" ht="13.5" customHeight="1" x14ac:dyDescent="0.25">
      <c r="B39" s="23" t="s">
        <v>19</v>
      </c>
      <c r="C39" s="22">
        <f>C32</f>
        <v>4.3939723794430652</v>
      </c>
      <c r="D39" s="21">
        <f>D32+D38</f>
        <v>4.6189681028851632</v>
      </c>
    </row>
    <row r="40" spans="1:7" ht="15.75" x14ac:dyDescent="0.25">
      <c r="B40" s="20" t="s">
        <v>18</v>
      </c>
      <c r="C40" s="19"/>
      <c r="D40" s="12">
        <f>D39/C39-1</f>
        <v>5.1205538863814182E-2</v>
      </c>
    </row>
    <row r="41" spans="1:7" ht="12.75" customHeight="1" x14ac:dyDescent="0.25">
      <c r="B41" s="18"/>
      <c r="E41" s="4"/>
    </row>
    <row r="42" spans="1:7" ht="12.75" customHeight="1" x14ac:dyDescent="0.25"/>
    <row r="43" spans="1:7" ht="25.5" x14ac:dyDescent="0.25">
      <c r="B43" s="8" t="s">
        <v>17</v>
      </c>
      <c r="C43" s="7">
        <f>ROUND(4.49509206289854,4)</f>
        <v>4.4950999999999999</v>
      </c>
      <c r="D43" s="6" t="s">
        <v>0</v>
      </c>
    </row>
    <row r="44" spans="1:7" ht="25.5" x14ac:dyDescent="0.25">
      <c r="B44" s="10" t="s">
        <v>16</v>
      </c>
      <c r="C44" s="16">
        <v>2611278657</v>
      </c>
      <c r="D44" s="6" t="s">
        <v>14</v>
      </c>
    </row>
    <row r="45" spans="1:7" ht="25.5" x14ac:dyDescent="0.25">
      <c r="B45" s="10" t="s">
        <v>15</v>
      </c>
      <c r="C45" s="15">
        <v>742618792</v>
      </c>
      <c r="D45" s="6" t="s">
        <v>14</v>
      </c>
    </row>
    <row r="46" spans="1:7" ht="25.5" x14ac:dyDescent="0.25">
      <c r="B46" s="10" t="s">
        <v>13</v>
      </c>
      <c r="C46" s="11">
        <f>3.003+0.513</f>
        <v>3.516</v>
      </c>
      <c r="D46" s="6" t="s">
        <v>12</v>
      </c>
    </row>
    <row r="47" spans="1:7" ht="25.5" x14ac:dyDescent="0.25">
      <c r="B47" s="10" t="s">
        <v>11</v>
      </c>
      <c r="C47" s="11">
        <v>4.4170003262221398</v>
      </c>
      <c r="D47" s="6" t="s">
        <v>3</v>
      </c>
    </row>
    <row r="48" spans="1:7" ht="25.5" customHeight="1" x14ac:dyDescent="0.25">
      <c r="B48" s="10" t="s">
        <v>10</v>
      </c>
      <c r="C48" s="9">
        <f>C47/C46-1</f>
        <v>0.25625720313485201</v>
      </c>
      <c r="D48" s="6" t="s">
        <v>3</v>
      </c>
    </row>
    <row r="49" spans="2:6" ht="25.5" customHeight="1" x14ac:dyDescent="0.25">
      <c r="B49" s="10" t="s">
        <v>9</v>
      </c>
      <c r="C49" s="9">
        <v>6.2899999999999998E-2</v>
      </c>
      <c r="D49" s="6"/>
    </row>
    <row r="50" spans="2:6" ht="25.5" customHeight="1" x14ac:dyDescent="0.25">
      <c r="B50" s="10" t="s">
        <v>8</v>
      </c>
      <c r="C50" s="9">
        <f>(1+C51)^(1/8)-1</f>
        <v>2.1111740733405604E-2</v>
      </c>
      <c r="D50" s="6"/>
    </row>
    <row r="51" spans="2:6" ht="25.5" customHeight="1" x14ac:dyDescent="0.25">
      <c r="B51" s="10" t="s">
        <v>6</v>
      </c>
      <c r="C51" s="9">
        <f>(1+C48)/(1+C49)-1</f>
        <v>0.18191476445089094</v>
      </c>
      <c r="D51" s="6" t="s">
        <v>3</v>
      </c>
    </row>
    <row r="52" spans="2:6" ht="25.5" customHeight="1" x14ac:dyDescent="0.25">
      <c r="B52" s="10" t="s">
        <v>5</v>
      </c>
      <c r="C52" s="9">
        <v>0.15747345209047725</v>
      </c>
      <c r="D52" s="6" t="s">
        <v>3</v>
      </c>
    </row>
    <row r="53" spans="2:6" ht="25.5" customHeight="1" x14ac:dyDescent="0.25">
      <c r="B53" s="10" t="s">
        <v>4</v>
      </c>
      <c r="C53" s="11">
        <f>C47/(1+C52)</f>
        <v>3.8160705269263251</v>
      </c>
      <c r="D53" s="6" t="s">
        <v>3</v>
      </c>
    </row>
    <row r="54" spans="2:6" ht="25.5" customHeight="1" x14ac:dyDescent="0.25">
      <c r="B54" s="10" t="s">
        <v>2</v>
      </c>
      <c r="C54" s="9">
        <f>C53/C46-1</f>
        <v>8.5344290934677103E-2</v>
      </c>
      <c r="D54" s="6"/>
    </row>
    <row r="55" spans="2:6" ht="25.5" customHeight="1" x14ac:dyDescent="0.25">
      <c r="B55" s="8" t="s">
        <v>1</v>
      </c>
      <c r="C55" s="7">
        <f>C43/(1+C50)^8</f>
        <v>3.8032353391307292</v>
      </c>
      <c r="D55" s="6" t="s">
        <v>0</v>
      </c>
    </row>
    <row r="56" spans="2:6" ht="12.75" customHeight="1" x14ac:dyDescent="0.25">
      <c r="C56" s="5"/>
      <c r="F56" s="4"/>
    </row>
    <row r="57" spans="2:6" ht="12.75" customHeight="1" x14ac:dyDescent="0.25">
      <c r="C57" s="3"/>
    </row>
    <row r="58" spans="2:6" ht="27.4" customHeight="1" x14ac:dyDescent="0.25"/>
    <row r="59" spans="2:6" ht="12.75" customHeight="1" x14ac:dyDescent="0.25"/>
    <row r="60" spans="2:6" ht="12.75" customHeight="1" x14ac:dyDescent="0.25"/>
    <row r="61" spans="2:6" ht="12.75" customHeight="1" x14ac:dyDescent="0.25"/>
    <row r="62" spans="2:6" ht="12.75" customHeight="1" x14ac:dyDescent="0.25"/>
    <row r="63" spans="2:6" ht="12.75" customHeight="1" x14ac:dyDescent="0.25"/>
    <row r="64" spans="2: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mergeCells count="14">
    <mergeCell ref="B8:C8"/>
    <mergeCell ref="B18:D19"/>
    <mergeCell ref="B36:D36"/>
    <mergeCell ref="B9:C9"/>
    <mergeCell ref="B10:C10"/>
    <mergeCell ref="B11:C11"/>
    <mergeCell ref="B12:C12"/>
    <mergeCell ref="B15:C15"/>
    <mergeCell ref="B16:C16"/>
    <mergeCell ref="B1:D2"/>
    <mergeCell ref="B4:C4"/>
    <mergeCell ref="B5:C5"/>
    <mergeCell ref="B6:C6"/>
    <mergeCell ref="B7:C7"/>
  </mergeCells>
  <pageMargins left="0.51180555555555551" right="0.51180555555555551" top="0.78749999999999998" bottom="0.78749999999999998" header="0.51180555555555551" footer="0.51180555555555551"/>
  <pageSetup paperSize="9" scale="3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B2:F29"/>
  <sheetViews>
    <sheetView showGridLines="0" workbookViewId="0"/>
  </sheetViews>
  <sheetFormatPr defaultRowHeight="15" x14ac:dyDescent="0.25"/>
  <cols>
    <col min="2" max="2" width="13.28515625" bestFit="1" customWidth="1"/>
    <col min="3" max="3" width="13.28515625" customWidth="1"/>
    <col min="4" max="4" width="10.140625" bestFit="1" customWidth="1"/>
    <col min="5" max="5" width="9.85546875" style="79" bestFit="1" customWidth="1"/>
    <col min="6" max="6" width="9.140625" customWidth="1"/>
  </cols>
  <sheetData>
    <row r="2" spans="2:4" x14ac:dyDescent="0.25">
      <c r="C2" s="13">
        <v>2019</v>
      </c>
      <c r="D2" s="13">
        <v>2020</v>
      </c>
    </row>
    <row r="3" spans="2:4" x14ac:dyDescent="0.25">
      <c r="B3" s="8" t="s">
        <v>33</v>
      </c>
      <c r="C3" s="14">
        <f>'IRT Resumo 2020'!E21</f>
        <v>4.1599495665158166</v>
      </c>
      <c r="D3" s="14">
        <f>'IRT Resumo 2020'!F21</f>
        <v>4.3095825431653019</v>
      </c>
    </row>
    <row r="4" spans="2:4" x14ac:dyDescent="0.25">
      <c r="B4" s="33" t="s">
        <v>32</v>
      </c>
      <c r="C4" s="14">
        <f>'IRT Resumo 2020'!E22</f>
        <v>0.237983104933911</v>
      </c>
      <c r="D4" s="14">
        <f>'IRT Resumo 2020'!F22</f>
        <v>0.237983104933911</v>
      </c>
    </row>
    <row r="5" spans="2:4" x14ac:dyDescent="0.25">
      <c r="B5" s="33" t="s">
        <v>31</v>
      </c>
      <c r="C5" s="14">
        <f>SUM(C6:C8)</f>
        <v>0.68244175891575587</v>
      </c>
      <c r="D5" s="14">
        <f>SUM(D6:D8)</f>
        <v>0.76867846931776973</v>
      </c>
    </row>
    <row r="6" spans="2:4" x14ac:dyDescent="0.25">
      <c r="B6" s="46" t="s">
        <v>30</v>
      </c>
      <c r="C6" s="29">
        <f>'IRT Resumo 2020'!E24</f>
        <v>0.47825721339949695</v>
      </c>
      <c r="D6" s="29">
        <f>'IRT Resumo 2020'!F24</f>
        <v>0.51062576116274794</v>
      </c>
    </row>
    <row r="7" spans="2:4" x14ac:dyDescent="0.25">
      <c r="B7" s="46" t="s">
        <v>29</v>
      </c>
      <c r="C7" s="29">
        <f>'IRT Resumo 2020'!E25</f>
        <v>8.9171872075505379E-2</v>
      </c>
      <c r="D7" s="29">
        <f>'IRT Resumo 2020'!F25</f>
        <v>0.12924103472575532</v>
      </c>
    </row>
    <row r="8" spans="2:4" x14ac:dyDescent="0.25">
      <c r="B8" s="46" t="s">
        <v>28</v>
      </c>
      <c r="C8" s="29">
        <f>'IRT Resumo 2020'!E26</f>
        <v>0.1150126734407535</v>
      </c>
      <c r="D8" s="29">
        <f>'IRT Resumo 2020'!F26</f>
        <v>0.12881167342926644</v>
      </c>
    </row>
    <row r="9" spans="2:4" x14ac:dyDescent="0.25">
      <c r="B9" s="33" t="s">
        <v>27</v>
      </c>
      <c r="C9" s="14">
        <f>SUM(C10:C12)</f>
        <v>9.8848762990221911E-2</v>
      </c>
      <c r="D9" s="14">
        <f>SUM(D10:D12)</f>
        <v>0.12775964289323913</v>
      </c>
    </row>
    <row r="10" spans="2:4" x14ac:dyDescent="0.25">
      <c r="B10" s="46" t="s">
        <v>26</v>
      </c>
      <c r="C10" s="29">
        <f>'IRT Resumo 2020'!E28</f>
        <v>4.0310855396928483E-2</v>
      </c>
      <c r="D10" s="29">
        <f>'IRT Resumo 2020'!F28</f>
        <v>5.070118006580248E-2</v>
      </c>
    </row>
    <row r="11" spans="2:4" x14ac:dyDescent="0.25">
      <c r="B11" s="46" t="s">
        <v>25</v>
      </c>
      <c r="C11" s="29">
        <f>'IRT Resumo 2020'!E29</f>
        <v>-1.0832650454385517E-3</v>
      </c>
      <c r="D11" s="29">
        <f>'IRT Resumo 2020'!F29</f>
        <v>3.8882422897747577E-2</v>
      </c>
    </row>
    <row r="12" spans="2:4" x14ac:dyDescent="0.25">
      <c r="B12" s="46" t="s">
        <v>24</v>
      </c>
      <c r="C12" s="29">
        <f>'IRT Resumo 2020'!E30</f>
        <v>5.9621172638731977E-2</v>
      </c>
      <c r="D12" s="29">
        <f>'IRT Resumo 2020'!F30</f>
        <v>3.8176039929689078E-2</v>
      </c>
    </row>
    <row r="13" spans="2:4" x14ac:dyDescent="0.25">
      <c r="B13" s="23" t="s">
        <v>19</v>
      </c>
      <c r="C13" s="17">
        <f>'IRT Resumo 2020'!E32</f>
        <v>5.1792231933557051</v>
      </c>
      <c r="D13" s="17">
        <f>'IRT Resumo 2020'!F32</f>
        <v>5.4440037603102223</v>
      </c>
    </row>
    <row r="14" spans="2:4" x14ac:dyDescent="0.25">
      <c r="B14" s="60" t="s">
        <v>18</v>
      </c>
      <c r="C14" s="80">
        <f>'IRT Resumo 2020'!E33</f>
        <v>0.12129442723810713</v>
      </c>
      <c r="D14" s="80" t="str">
        <f>'IRT Resumo 2020'!F33</f>
        <v>5,11236%¹</v>
      </c>
    </row>
    <row r="17" spans="2:6" x14ac:dyDescent="0.25">
      <c r="C17" s="88">
        <v>2019</v>
      </c>
      <c r="D17" s="88">
        <v>2020</v>
      </c>
      <c r="E17" s="88" t="s">
        <v>50</v>
      </c>
      <c r="F17" s="13" t="s">
        <v>50</v>
      </c>
    </row>
    <row r="18" spans="2:6" x14ac:dyDescent="0.25">
      <c r="B18" s="8" t="s">
        <v>33</v>
      </c>
      <c r="C18" s="14">
        <f>'IRT Resumo 2020'!E21</f>
        <v>4.1599495665158166</v>
      </c>
      <c r="D18" s="47">
        <v>4.4573825432297527</v>
      </c>
      <c r="E18" s="87">
        <f t="shared" ref="E18:E28" si="0">D18/C18-1</f>
        <v>7.1499178525631146E-2</v>
      </c>
      <c r="F18" s="86">
        <f>D18/D28</f>
        <v>0.78503001294660657</v>
      </c>
    </row>
    <row r="19" spans="2:6" x14ac:dyDescent="0.25">
      <c r="B19" s="33" t="s">
        <v>32</v>
      </c>
      <c r="C19" s="47">
        <f>'IRT Resumo 2020'!E22</f>
        <v>0.237983104933911</v>
      </c>
      <c r="D19" s="47">
        <v>0.32415658074029546</v>
      </c>
      <c r="E19" s="87">
        <f t="shared" si="0"/>
        <v>0.36209913233258817</v>
      </c>
      <c r="F19" s="86">
        <f>D19/D28</f>
        <v>5.7090151519930979E-2</v>
      </c>
    </row>
    <row r="20" spans="2:6" x14ac:dyDescent="0.25">
      <c r="B20" s="33" t="s">
        <v>31</v>
      </c>
      <c r="C20" s="47">
        <f>SUM(C21:C23)</f>
        <v>0.78129052190597781</v>
      </c>
      <c r="D20" s="47">
        <f>SUM(D21:D23)</f>
        <v>0.89643811221100878</v>
      </c>
      <c r="E20" s="87">
        <f t="shared" si="0"/>
        <v>0.14738127121282041</v>
      </c>
      <c r="F20" s="86">
        <f>D20/D28</f>
        <v>0.15787983553346241</v>
      </c>
    </row>
    <row r="21" spans="2:6" x14ac:dyDescent="0.25">
      <c r="B21" s="46" t="s">
        <v>30</v>
      </c>
      <c r="C21" s="29">
        <f>'IRT Resumo 2020'!E24+'IRT Resumo 2020'!E28</f>
        <v>0.51856806879642547</v>
      </c>
      <c r="D21" s="29">
        <f>'IRT Resumo 2020'!F24+'IRT Resumo 2020'!F28</f>
        <v>0.56132694122855042</v>
      </c>
      <c r="E21" s="85">
        <f t="shared" si="0"/>
        <v>8.2455660124554964E-2</v>
      </c>
    </row>
    <row r="22" spans="2:6" x14ac:dyDescent="0.25">
      <c r="B22" s="46" t="s">
        <v>29</v>
      </c>
      <c r="C22" s="29">
        <f>'IRT Resumo 2020'!E25+'IRT Resumo 2020'!E29</f>
        <v>8.8088607030066823E-2</v>
      </c>
      <c r="D22" s="29">
        <f>'IRT Resumo 2020'!F25+'IRT Resumo 2020'!F29</f>
        <v>0.16812345762350289</v>
      </c>
      <c r="E22" s="85">
        <f t="shared" si="0"/>
        <v>0.90857209906972636</v>
      </c>
    </row>
    <row r="23" spans="2:6" x14ac:dyDescent="0.25">
      <c r="B23" s="46" t="s">
        <v>28</v>
      </c>
      <c r="C23" s="29">
        <f>'IRT Resumo 2020'!E26+'IRT Resumo 2020'!E30</f>
        <v>0.17463384607948548</v>
      </c>
      <c r="D23" s="29">
        <f>'IRT Resumo 2020'!F26+'IRT Resumo 2020'!F30</f>
        <v>0.16698771335895551</v>
      </c>
      <c r="E23" s="85">
        <f t="shared" si="0"/>
        <v>-4.3783796166579236E-2</v>
      </c>
    </row>
    <row r="24" spans="2:6" hidden="1" x14ac:dyDescent="0.25">
      <c r="B24" s="33" t="s">
        <v>27</v>
      </c>
      <c r="C24" s="47">
        <v>9.8848762990221911E-2</v>
      </c>
      <c r="D24" s="84">
        <v>0.12775964289323913</v>
      </c>
      <c r="E24" s="82">
        <f t="shared" si="0"/>
        <v>0.29247588971727523</v>
      </c>
    </row>
    <row r="25" spans="2:6" hidden="1" x14ac:dyDescent="0.25">
      <c r="B25" s="46" t="s">
        <v>26</v>
      </c>
      <c r="C25" s="29">
        <v>4.0310855396928483E-2</v>
      </c>
      <c r="D25" s="83">
        <v>5.070118006580248E-2</v>
      </c>
      <c r="E25" s="82">
        <f t="shared" si="0"/>
        <v>0.25775500337474089</v>
      </c>
    </row>
    <row r="26" spans="2:6" hidden="1" x14ac:dyDescent="0.25">
      <c r="B26" s="46" t="s">
        <v>25</v>
      </c>
      <c r="C26" s="29">
        <v>-1.0832650454385517E-3</v>
      </c>
      <c r="D26" s="29">
        <v>3.8882422897747577E-2</v>
      </c>
      <c r="E26" s="82">
        <f t="shared" si="0"/>
        <v>-36.893729850764565</v>
      </c>
    </row>
    <row r="27" spans="2:6" hidden="1" x14ac:dyDescent="0.25">
      <c r="B27" s="46" t="s">
        <v>24</v>
      </c>
      <c r="C27" s="29">
        <v>5.9621172638731977E-2</v>
      </c>
      <c r="D27" s="83">
        <v>3.8176039929689078E-2</v>
      </c>
      <c r="E27" s="82">
        <f t="shared" si="0"/>
        <v>-0.35968988464865248</v>
      </c>
    </row>
    <row r="28" spans="2:6" x14ac:dyDescent="0.25">
      <c r="B28" s="23" t="s">
        <v>19</v>
      </c>
      <c r="C28" s="17">
        <f>C18+C19+C20</f>
        <v>5.1792231933557051</v>
      </c>
      <c r="D28" s="17">
        <f>D18+D19+D20</f>
        <v>5.6779772361810572</v>
      </c>
      <c r="E28" s="81">
        <f t="shared" si="0"/>
        <v>9.6299005508237334E-2</v>
      </c>
    </row>
    <row r="29" spans="2:6" ht="15.75" x14ac:dyDescent="0.25">
      <c r="B29" s="60" t="s">
        <v>18</v>
      </c>
      <c r="C29" s="80">
        <f>'IRT Resumo 2020'!E33</f>
        <v>0.12129442723810713</v>
      </c>
      <c r="D29" s="80" t="str">
        <f>'IRT Resumo 2020'!F33</f>
        <v>5,11236%¹</v>
      </c>
      <c r="E29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</sheetPr>
  <dimension ref="A1:BK33"/>
  <sheetViews>
    <sheetView showGridLines="0" zoomScaleNormal="100" workbookViewId="0"/>
  </sheetViews>
  <sheetFormatPr defaultColWidth="12.5703125" defaultRowHeight="12.75" customHeight="1" x14ac:dyDescent="0.25"/>
  <cols>
    <col min="1" max="1" width="2.5703125" style="2" customWidth="1"/>
    <col min="2" max="2" width="16.5703125" style="2" customWidth="1"/>
    <col min="3" max="3" width="19.28515625" style="2" customWidth="1"/>
    <col min="4" max="4" width="17.7109375" style="2" hidden="1" customWidth="1"/>
    <col min="5" max="5" width="17.7109375" style="2" customWidth="1"/>
    <col min="6" max="6" width="17.7109375" style="90" customWidth="1"/>
    <col min="7" max="7" width="22.28515625" style="89" bestFit="1" customWidth="1"/>
    <col min="8" max="8" width="22.28515625" style="2" bestFit="1" customWidth="1"/>
    <col min="9" max="9" width="8.5703125" style="2" customWidth="1"/>
    <col min="10" max="15" width="10.5703125" style="2" customWidth="1"/>
    <col min="16" max="63" width="9" style="2" customWidth="1"/>
  </cols>
  <sheetData>
    <row r="1" spans="2:8" ht="15" customHeight="1" x14ac:dyDescent="0.25">
      <c r="B1" s="158"/>
      <c r="C1" s="158"/>
      <c r="D1" s="111"/>
      <c r="E1"/>
      <c r="F1" s="110"/>
      <c r="G1" s="109"/>
    </row>
    <row r="2" spans="2:8" ht="15.75" customHeight="1" x14ac:dyDescent="0.25">
      <c r="B2" s="158"/>
      <c r="C2" s="158"/>
      <c r="D2" s="111"/>
      <c r="E2"/>
      <c r="F2" s="110"/>
      <c r="G2" s="109"/>
    </row>
    <row r="3" spans="2:8" ht="17.45" customHeight="1" x14ac:dyDescent="0.25">
      <c r="C3" s="60">
        <v>2017</v>
      </c>
      <c r="D3" s="103"/>
      <c r="E3" s="60">
        <v>2018</v>
      </c>
      <c r="F3" s="60">
        <v>2019</v>
      </c>
      <c r="G3" s="60" t="s">
        <v>39</v>
      </c>
      <c r="H3" s="60" t="s">
        <v>63</v>
      </c>
    </row>
    <row r="4" spans="2:8" ht="15" customHeight="1" x14ac:dyDescent="0.25">
      <c r="B4" s="92" t="s">
        <v>62</v>
      </c>
      <c r="C4" s="93">
        <v>0.34732439313239505</v>
      </c>
      <c r="D4" s="108"/>
      <c r="E4" s="93">
        <f>1029985947/2965486928</f>
        <v>0.34732439292681311</v>
      </c>
      <c r="F4" s="93">
        <f>1029985947/2965486928</f>
        <v>0.34732439292681311</v>
      </c>
      <c r="G4" s="93">
        <f t="shared" ref="G4:H6" si="0">F4</f>
        <v>0.34732439292681311</v>
      </c>
      <c r="H4" s="93">
        <f t="shared" si="0"/>
        <v>0.34732439292681311</v>
      </c>
    </row>
    <row r="5" spans="2:8" ht="15" customHeight="1" x14ac:dyDescent="0.25">
      <c r="B5" s="92" t="s">
        <v>61</v>
      </c>
      <c r="C5" s="93">
        <v>0.44409719083768906</v>
      </c>
      <c r="D5" s="108"/>
      <c r="E5" s="93">
        <f>1316964414/2965486928</f>
        <v>0.44409719077338655</v>
      </c>
      <c r="F5" s="93">
        <f>1316964414/2965486928</f>
        <v>0.44409719077338655</v>
      </c>
      <c r="G5" s="93">
        <f t="shared" si="0"/>
        <v>0.44409719077338655</v>
      </c>
      <c r="H5" s="93">
        <f t="shared" si="0"/>
        <v>0.44409719077338655</v>
      </c>
    </row>
    <row r="6" spans="2:8" ht="15" customHeight="1" x14ac:dyDescent="0.25">
      <c r="B6" s="92" t="s">
        <v>60</v>
      </c>
      <c r="C6" s="93">
        <v>0.208578416029916</v>
      </c>
      <c r="D6" s="108"/>
      <c r="E6" s="93">
        <f>618536566/2965486928</f>
        <v>0.20857841596258758</v>
      </c>
      <c r="F6" s="93">
        <f>618536566/2965486928</f>
        <v>0.20857841596258758</v>
      </c>
      <c r="G6" s="93">
        <f t="shared" si="0"/>
        <v>0.20857841596258758</v>
      </c>
      <c r="H6" s="93">
        <f t="shared" si="0"/>
        <v>0.20857841596258758</v>
      </c>
    </row>
    <row r="7" spans="2:8" ht="15" customHeight="1" x14ac:dyDescent="0.25">
      <c r="B7" s="95" t="s">
        <v>59</v>
      </c>
      <c r="C7" s="94">
        <v>-5.2094044493907806E-3</v>
      </c>
      <c r="D7" s="106"/>
      <c r="E7" s="94">
        <v>7.5520999999999991E-2</v>
      </c>
      <c r="F7" s="94">
        <v>7.3178999999999994E-2</v>
      </c>
      <c r="G7" s="107"/>
      <c r="H7" s="107"/>
    </row>
    <row r="8" spans="2:8" ht="15" customHeight="1" x14ac:dyDescent="0.25">
      <c r="B8" s="95" t="s">
        <v>58</v>
      </c>
      <c r="C8" s="94">
        <v>2.9474213204347101E-2</v>
      </c>
      <c r="D8" s="106"/>
      <c r="E8" s="94">
        <v>3.7455811701915497E-2</v>
      </c>
      <c r="F8" s="96">
        <v>4.3060000000000001E-2</v>
      </c>
      <c r="G8" s="96">
        <f>F8</f>
        <v>4.3060000000000001E-2</v>
      </c>
      <c r="H8" s="96">
        <f>G8</f>
        <v>4.3060000000000001E-2</v>
      </c>
    </row>
    <row r="9" spans="2:8" ht="15" customHeight="1" x14ac:dyDescent="0.25">
      <c r="B9" s="95" t="s">
        <v>57</v>
      </c>
      <c r="C9" s="94">
        <v>2.06728492262356E-2</v>
      </c>
      <c r="D9" s="106"/>
      <c r="E9" s="94">
        <v>3.4337249054119397E-2</v>
      </c>
      <c r="F9" s="94">
        <v>4.4816000000000002E-2</v>
      </c>
      <c r="G9" s="94">
        <f>F9</f>
        <v>4.4816000000000002E-2</v>
      </c>
      <c r="H9" s="94"/>
    </row>
    <row r="10" spans="2:8" ht="12.75" customHeight="1" x14ac:dyDescent="0.25">
      <c r="C10" s="105"/>
      <c r="F10" s="104"/>
      <c r="G10" s="104"/>
    </row>
    <row r="11" spans="2:8" ht="12.75" customHeight="1" x14ac:dyDescent="0.25">
      <c r="C11" s="105"/>
      <c r="F11" s="104"/>
      <c r="G11" s="104"/>
    </row>
    <row r="12" spans="2:8" ht="13.5" customHeight="1" x14ac:dyDescent="0.25">
      <c r="C12" s="105"/>
      <c r="F12" s="104"/>
      <c r="G12" s="104"/>
    </row>
    <row r="13" spans="2:8" ht="17.45" customHeight="1" x14ac:dyDescent="0.25">
      <c r="C13" s="60">
        <f>C3</f>
        <v>2017</v>
      </c>
      <c r="D13" s="103"/>
      <c r="E13" s="102">
        <f>E3</f>
        <v>2018</v>
      </c>
      <c r="F13" s="102">
        <f>F3</f>
        <v>2019</v>
      </c>
      <c r="G13" s="60" t="s">
        <v>39</v>
      </c>
      <c r="H13" s="60" t="s">
        <v>38</v>
      </c>
    </row>
    <row r="14" spans="2:8" ht="17.45" customHeight="1" x14ac:dyDescent="0.25">
      <c r="B14" s="92" t="s">
        <v>37</v>
      </c>
      <c r="C14" s="58">
        <f>C4*C9+C5*C7+C6*C8</f>
        <v>1.1014387633798733E-2</v>
      </c>
      <c r="D14" s="100"/>
      <c r="E14" s="101">
        <f>E4*E9+E5*E7+E6*E8</f>
        <v>5.3277302000274217E-2</v>
      </c>
      <c r="F14" s="101">
        <f>F4*F9+F5*F7+F6*F8</f>
        <v>5.7045664908362728E-2</v>
      </c>
      <c r="G14" s="101">
        <f>G4*G9+G5*G8+G6*G8</f>
        <v>4.3669901619459099E-2</v>
      </c>
      <c r="H14" s="101">
        <f>H4*H8+H5*H8+H6*H8</f>
        <v>4.3059999985479616E-2</v>
      </c>
    </row>
    <row r="15" spans="2:8" ht="17.45" customHeight="1" x14ac:dyDescent="0.25">
      <c r="B15" s="92" t="s">
        <v>36</v>
      </c>
      <c r="C15" s="99">
        <v>7.7000000000000002E-3</v>
      </c>
      <c r="D15" s="100"/>
      <c r="E15" s="99">
        <v>7.7000000000000002E-3</v>
      </c>
      <c r="F15" s="99">
        <v>7.7000000000000002E-3</v>
      </c>
      <c r="G15" s="99">
        <v>7.7000000000000002E-3</v>
      </c>
      <c r="H15" s="99">
        <v>7.7000000000000002E-3</v>
      </c>
    </row>
    <row r="16" spans="2:8" ht="15" customHeight="1" x14ac:dyDescent="0.25">
      <c r="B16" s="92" t="s">
        <v>56</v>
      </c>
      <c r="C16" s="97">
        <f>C14-C15</f>
        <v>3.3143876337987325E-3</v>
      </c>
      <c r="D16" s="98"/>
      <c r="E16" s="97">
        <f>E14-E15</f>
        <v>4.5577302000274218E-2</v>
      </c>
      <c r="F16" s="97">
        <f>F14-F15</f>
        <v>4.934566490836273E-2</v>
      </c>
      <c r="G16" s="97">
        <f>G14-G15</f>
        <v>3.5969901619459101E-2</v>
      </c>
      <c r="H16" s="97">
        <f>H14-H15</f>
        <v>3.5359999985479618E-2</v>
      </c>
    </row>
    <row r="20" spans="5:7" ht="12.75" customHeight="1" x14ac:dyDescent="0.25">
      <c r="E20" s="2" t="s">
        <v>55</v>
      </c>
      <c r="F20" s="2"/>
      <c r="G20" s="2"/>
    </row>
    <row r="21" spans="5:7" ht="12.75" customHeight="1" x14ac:dyDescent="0.25">
      <c r="E21" s="92" t="s">
        <v>54</v>
      </c>
      <c r="F21" s="60">
        <f t="shared" ref="F21:G24" si="1">F3</f>
        <v>2019</v>
      </c>
      <c r="G21" s="60" t="str">
        <f t="shared" si="1"/>
        <v>2019 Subst. IGPM por IPCA</v>
      </c>
    </row>
    <row r="22" spans="5:7" ht="12.75" customHeight="1" x14ac:dyDescent="0.25">
      <c r="E22" s="92" t="str">
        <f t="shared" ref="E22:E27" si="2">B4</f>
        <v>% P</v>
      </c>
      <c r="F22" s="93">
        <f t="shared" si="1"/>
        <v>0.34732439292681311</v>
      </c>
      <c r="G22" s="93">
        <f t="shared" si="1"/>
        <v>0.34732439292681311</v>
      </c>
    </row>
    <row r="23" spans="5:7" ht="12.75" customHeight="1" x14ac:dyDescent="0.25">
      <c r="E23" s="92" t="str">
        <f t="shared" si="2"/>
        <v>% RI</v>
      </c>
      <c r="F23" s="93">
        <f t="shared" si="1"/>
        <v>0.44409719077338655</v>
      </c>
      <c r="G23" s="93">
        <f t="shared" si="1"/>
        <v>0.44409719077338655</v>
      </c>
    </row>
    <row r="24" spans="5:7" ht="12.75" customHeight="1" x14ac:dyDescent="0.25">
      <c r="E24" s="92" t="str">
        <f t="shared" si="2"/>
        <v>% OC</v>
      </c>
      <c r="F24" s="93">
        <f t="shared" si="1"/>
        <v>0.20857841596258758</v>
      </c>
      <c r="G24" s="93">
        <f t="shared" si="1"/>
        <v>0.20857841596258758</v>
      </c>
    </row>
    <row r="25" spans="5:7" ht="12.75" customHeight="1" x14ac:dyDescent="0.25">
      <c r="E25" s="95" t="str">
        <f t="shared" si="2"/>
        <v>∆ IGP - M</v>
      </c>
      <c r="F25" s="94">
        <f>F7</f>
        <v>7.3178999999999994E-2</v>
      </c>
      <c r="G25" s="94" t="s">
        <v>53</v>
      </c>
    </row>
    <row r="26" spans="5:7" ht="12.75" customHeight="1" x14ac:dyDescent="0.25">
      <c r="E26" s="95" t="str">
        <f t="shared" si="2"/>
        <v>∆ IPCA</v>
      </c>
      <c r="F26" s="96">
        <f>F8</f>
        <v>4.3060000000000001E-2</v>
      </c>
      <c r="G26" s="96">
        <f>G8</f>
        <v>4.3060000000000001E-2</v>
      </c>
    </row>
    <row r="27" spans="5:7" ht="12.75" customHeight="1" x14ac:dyDescent="0.25">
      <c r="E27" s="95" t="str">
        <f t="shared" si="2"/>
        <v>∆ INPC</v>
      </c>
      <c r="F27" s="94">
        <f>F9</f>
        <v>4.4816000000000002E-2</v>
      </c>
      <c r="G27" s="94">
        <f>G9</f>
        <v>4.4816000000000002E-2</v>
      </c>
    </row>
    <row r="29" spans="5:7" ht="12.75" customHeight="1" x14ac:dyDescent="0.25">
      <c r="E29" s="2" t="s">
        <v>52</v>
      </c>
      <c r="F29" s="2"/>
      <c r="G29" s="2"/>
    </row>
    <row r="30" spans="5:7" ht="12.75" customHeight="1" x14ac:dyDescent="0.25">
      <c r="E30" s="92" t="s">
        <v>51</v>
      </c>
      <c r="F30" s="60">
        <f t="shared" ref="F30:G33" si="3">F13</f>
        <v>2019</v>
      </c>
      <c r="G30" s="60" t="str">
        <f t="shared" si="3"/>
        <v>2019 Subst. IGPM por IPCA</v>
      </c>
    </row>
    <row r="31" spans="5:7" ht="12.75" customHeight="1" x14ac:dyDescent="0.25">
      <c r="E31" s="92" t="str">
        <f>B14</f>
        <v>IrB</v>
      </c>
      <c r="F31" s="91">
        <f t="shared" si="3"/>
        <v>5.7045664908362728E-2</v>
      </c>
      <c r="G31" s="91">
        <f t="shared" si="3"/>
        <v>4.3669901619459099E-2</v>
      </c>
    </row>
    <row r="32" spans="5:7" ht="12.75" customHeight="1" x14ac:dyDescent="0.25">
      <c r="E32" s="92" t="str">
        <f>B15</f>
        <v>Fator X</v>
      </c>
      <c r="F32" s="93">
        <f t="shared" si="3"/>
        <v>7.7000000000000002E-3</v>
      </c>
      <c r="G32" s="93">
        <f t="shared" si="3"/>
        <v>7.7000000000000002E-3</v>
      </c>
    </row>
    <row r="33" spans="5:7" ht="12.75" customHeight="1" x14ac:dyDescent="0.25">
      <c r="E33" s="92" t="str">
        <f>B16</f>
        <v>Valor de Reajuste</v>
      </c>
      <c r="F33" s="91">
        <f t="shared" si="3"/>
        <v>4.934566490836273E-2</v>
      </c>
      <c r="G33" s="91">
        <f t="shared" si="3"/>
        <v>3.5969901619459101E-2</v>
      </c>
    </row>
  </sheetData>
  <sheetProtection selectLockedCells="1" selectUnlockedCells="1"/>
  <mergeCells count="1">
    <mergeCell ref="B1:C2"/>
  </mergeCells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6"/>
    <pageSetUpPr fitToPage="1"/>
  </sheetPr>
  <dimension ref="A1:BL60"/>
  <sheetViews>
    <sheetView showGridLines="0"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12.5703125" defaultRowHeight="12.75" customHeight="1" x14ac:dyDescent="0.25"/>
  <cols>
    <col min="1" max="1" width="2.5703125" style="112" customWidth="1"/>
    <col min="2" max="2" width="29.140625" style="112" bestFit="1" customWidth="1"/>
    <col min="3" max="15" width="9.85546875" style="112" bestFit="1" customWidth="1"/>
    <col min="16" max="16" width="10.85546875" style="112" bestFit="1" customWidth="1"/>
    <col min="17" max="17" width="12.140625" style="113" customWidth="1"/>
    <col min="18" max="18" width="11.28515625" style="112" customWidth="1"/>
    <col min="19" max="64" width="11.42578125" style="112" hidden="1" customWidth="1"/>
  </cols>
  <sheetData>
    <row r="1" spans="1:17" ht="20.100000000000001" customHeight="1" x14ac:dyDescent="0.25">
      <c r="D1" s="157"/>
      <c r="E1" s="157"/>
      <c r="F1" s="120"/>
      <c r="G1" s="120"/>
      <c r="H1" s="156"/>
      <c r="I1" s="156"/>
      <c r="J1" s="156"/>
      <c r="K1" s="156"/>
      <c r="L1" s="156"/>
      <c r="M1" s="156"/>
      <c r="N1" s="156"/>
      <c r="O1" s="156"/>
      <c r="P1" s="156"/>
      <c r="Q1" s="155"/>
    </row>
    <row r="2" spans="1:17" ht="20.100000000000001" customHeight="1" x14ac:dyDescent="0.25">
      <c r="B2" s="164" t="s">
        <v>82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55"/>
    </row>
    <row r="3" spans="1:17" ht="20.100000000000001" customHeight="1" x14ac:dyDescent="0.25">
      <c r="B3" s="128" t="s">
        <v>81</v>
      </c>
      <c r="C3" s="127">
        <v>43466</v>
      </c>
      <c r="D3" s="127">
        <v>43497</v>
      </c>
      <c r="E3" s="127">
        <v>43525</v>
      </c>
      <c r="F3" s="127">
        <v>43556</v>
      </c>
      <c r="G3" s="127">
        <v>43586</v>
      </c>
      <c r="H3" s="127">
        <v>43586</v>
      </c>
      <c r="I3" s="127">
        <v>43617</v>
      </c>
      <c r="J3" s="127">
        <v>43647</v>
      </c>
      <c r="K3" s="127">
        <v>43678</v>
      </c>
      <c r="L3" s="127">
        <v>43709</v>
      </c>
      <c r="M3" s="127">
        <v>43739</v>
      </c>
      <c r="N3" s="127">
        <v>43770</v>
      </c>
      <c r="O3" s="127">
        <v>43800</v>
      </c>
      <c r="P3" s="127" t="s">
        <v>7</v>
      </c>
      <c r="Q3" s="154"/>
    </row>
    <row r="4" spans="1:17" ht="15" customHeight="1" x14ac:dyDescent="0.25">
      <c r="B4" s="126" t="s">
        <v>78</v>
      </c>
      <c r="C4" s="117">
        <v>39732623.839999996</v>
      </c>
      <c r="D4" s="117">
        <v>39592571.579999998</v>
      </c>
      <c r="E4" s="117">
        <v>34995183.499999993</v>
      </c>
      <c r="F4" s="117">
        <v>37148032.540000007</v>
      </c>
      <c r="G4" s="152">
        <v>19677000.247741934</v>
      </c>
      <c r="H4" s="152">
        <v>18447187.732258063</v>
      </c>
      <c r="I4" s="117">
        <v>37445952.229999997</v>
      </c>
      <c r="J4" s="117">
        <v>37300273.830000013</v>
      </c>
      <c r="K4" s="117">
        <v>43376009.020000003</v>
      </c>
      <c r="L4" s="117">
        <v>42001433.749999993</v>
      </c>
      <c r="M4" s="153">
        <v>40065823.269999996</v>
      </c>
      <c r="N4" s="153">
        <v>41922534.030000001</v>
      </c>
      <c r="O4" s="153">
        <v>41999081.750000007</v>
      </c>
      <c r="P4" s="141">
        <f>SUM(C4:O4)</f>
        <v>473703707.31999993</v>
      </c>
      <c r="Q4" s="112"/>
    </row>
    <row r="5" spans="1:17" ht="15" customHeight="1" x14ac:dyDescent="0.25">
      <c r="B5" s="126" t="s">
        <v>77</v>
      </c>
      <c r="C5" s="117">
        <v>80477286</v>
      </c>
      <c r="D5" s="117">
        <v>79912952</v>
      </c>
      <c r="E5" s="117">
        <v>77009944</v>
      </c>
      <c r="F5" s="117">
        <v>73004144</v>
      </c>
      <c r="G5" s="152">
        <f>(((75994162))/31)*16</f>
        <v>39222793.290322579</v>
      </c>
      <c r="H5" s="152">
        <f>(((75994162))/31)*15</f>
        <v>36771368.709677421</v>
      </c>
      <c r="I5" s="117">
        <v>73841348</v>
      </c>
      <c r="J5" s="117">
        <v>74738478</v>
      </c>
      <c r="K5" s="117">
        <v>75806133</v>
      </c>
      <c r="L5" s="117">
        <v>77782396</v>
      </c>
      <c r="M5" s="117">
        <v>79950635</v>
      </c>
      <c r="N5" s="117">
        <v>80835144</v>
      </c>
      <c r="O5" s="117">
        <v>78339914</v>
      </c>
      <c r="P5" s="141">
        <f>SUM(C5:O5)</f>
        <v>927692536</v>
      </c>
      <c r="Q5" s="112"/>
    </row>
    <row r="6" spans="1:17" ht="15" customHeight="1" x14ac:dyDescent="0.25">
      <c r="B6" s="126" t="s">
        <v>76</v>
      </c>
      <c r="C6" s="151">
        <v>0.43236874137246001</v>
      </c>
      <c r="D6" s="151">
        <v>0.43236874137246001</v>
      </c>
      <c r="E6" s="151">
        <v>0.43236874137246001</v>
      </c>
      <c r="F6" s="151">
        <v>0.43236874137246001</v>
      </c>
      <c r="G6" s="151">
        <v>0.43236874137246001</v>
      </c>
      <c r="H6" s="151">
        <v>0.47825721339949706</v>
      </c>
      <c r="I6" s="151">
        <v>0.47825721339949706</v>
      </c>
      <c r="J6" s="151">
        <v>0.47825721339949706</v>
      </c>
      <c r="K6" s="151">
        <v>0.47825721339949706</v>
      </c>
      <c r="L6" s="151">
        <v>0.47825721339949706</v>
      </c>
      <c r="M6" s="151">
        <v>0.47825721339949706</v>
      </c>
      <c r="N6" s="151">
        <v>0.47825721339949706</v>
      </c>
      <c r="O6" s="151">
        <v>0.47825721339949706</v>
      </c>
      <c r="P6" s="150"/>
      <c r="Q6" s="112"/>
    </row>
    <row r="7" spans="1:17" ht="15" customHeight="1" x14ac:dyDescent="0.25">
      <c r="B7" s="126" t="s">
        <v>75</v>
      </c>
      <c r="C7" s="117">
        <f t="shared" ref="C7:O7" si="0">C6*C5</f>
        <v>34795862.856891498</v>
      </c>
      <c r="D7" s="117">
        <f t="shared" si="0"/>
        <v>34551862.475597814</v>
      </c>
      <c r="E7" s="117">
        <f t="shared" si="0"/>
        <v>33296692.560443629</v>
      </c>
      <c r="F7" s="117">
        <f t="shared" si="0"/>
        <v>31564709.856253829</v>
      </c>
      <c r="G7" s="117">
        <f t="shared" si="0"/>
        <v>16958709.768048942</v>
      </c>
      <c r="H7" s="117">
        <f t="shared" si="0"/>
        <v>17586172.331975784</v>
      </c>
      <c r="I7" s="117">
        <f t="shared" si="0"/>
        <v>35315157.328142524</v>
      </c>
      <c r="J7" s="117">
        <f t="shared" si="0"/>
        <v>35744216.221999615</v>
      </c>
      <c r="K7" s="117">
        <f t="shared" si="0"/>
        <v>36254829.927171655</v>
      </c>
      <c r="L7" s="117">
        <f t="shared" si="0"/>
        <v>37199991.962496184</v>
      </c>
      <c r="M7" s="117">
        <f t="shared" si="0"/>
        <v>38236967.904620297</v>
      </c>
      <c r="N7" s="117">
        <f t="shared" si="0"/>
        <v>38659990.714187071</v>
      </c>
      <c r="O7" s="117">
        <f t="shared" si="0"/>
        <v>37466628.967596248</v>
      </c>
      <c r="P7" s="141">
        <f>SUM(C7:O7)</f>
        <v>427631792.87542504</v>
      </c>
      <c r="Q7" s="112"/>
    </row>
    <row r="8" spans="1:17" ht="15" customHeight="1" x14ac:dyDescent="0.25">
      <c r="B8" s="140" t="s">
        <v>74</v>
      </c>
      <c r="C8" s="139">
        <f t="shared" ref="C8:O8" si="1">C4-C7</f>
        <v>4936760.9831084982</v>
      </c>
      <c r="D8" s="139">
        <f t="shared" si="1"/>
        <v>5040709.1044021845</v>
      </c>
      <c r="E8" s="139">
        <f t="shared" si="1"/>
        <v>1698490.939556364</v>
      </c>
      <c r="F8" s="139">
        <f t="shared" si="1"/>
        <v>5583322.6837461777</v>
      </c>
      <c r="G8" s="139">
        <f t="shared" si="1"/>
        <v>2718290.4796929918</v>
      </c>
      <c r="H8" s="139">
        <f t="shared" si="1"/>
        <v>861015.40028227866</v>
      </c>
      <c r="I8" s="139">
        <f t="shared" si="1"/>
        <v>2130794.901857473</v>
      </c>
      <c r="J8" s="139">
        <f t="shared" si="1"/>
        <v>1556057.6080003977</v>
      </c>
      <c r="K8" s="139">
        <f t="shared" si="1"/>
        <v>7121179.0928283483</v>
      </c>
      <c r="L8" s="139">
        <f t="shared" si="1"/>
        <v>4801441.7875038087</v>
      </c>
      <c r="M8" s="139">
        <f t="shared" si="1"/>
        <v>1828855.3653796986</v>
      </c>
      <c r="N8" s="139">
        <f t="shared" si="1"/>
        <v>3262543.3158129305</v>
      </c>
      <c r="O8" s="139">
        <f t="shared" si="1"/>
        <v>4532452.7824037597</v>
      </c>
      <c r="P8" s="138">
        <f>SUM(C8:O8)</f>
        <v>46071914.444574907</v>
      </c>
      <c r="Q8" s="112"/>
    </row>
    <row r="9" spans="1:17" ht="15" customHeight="1" x14ac:dyDescent="0.25">
      <c r="B9" s="126" t="s">
        <v>67</v>
      </c>
      <c r="C9" s="99">
        <f t="shared" ref="C9:O9" si="2">C40</f>
        <v>3.9734762836310056E-2</v>
      </c>
      <c r="D9" s="99">
        <f t="shared" si="2"/>
        <v>3.5283609623014911E-2</v>
      </c>
      <c r="E9" s="99">
        <f t="shared" si="2"/>
        <v>2.75771757248231E-2</v>
      </c>
      <c r="F9" s="99">
        <f t="shared" si="2"/>
        <v>2.1753492427472487E-2</v>
      </c>
      <c r="G9" s="99">
        <f t="shared" si="2"/>
        <v>2.0426756173579586E-2</v>
      </c>
      <c r="H9" s="99">
        <f t="shared" si="2"/>
        <v>2.0426756173579586E-2</v>
      </c>
      <c r="I9" s="99">
        <f t="shared" si="2"/>
        <v>2.0324992760252014E-2</v>
      </c>
      <c r="J9" s="99">
        <f t="shared" si="2"/>
        <v>1.8389488876723092E-2</v>
      </c>
      <c r="K9" s="99">
        <f t="shared" si="2"/>
        <v>1.7269829615310206E-2</v>
      </c>
      <c r="L9" s="99">
        <f t="shared" si="2"/>
        <v>1.7676516496296646E-2</v>
      </c>
      <c r="M9" s="99">
        <f t="shared" si="2"/>
        <v>1.6659437003518018E-2</v>
      </c>
      <c r="N9" s="99">
        <f t="shared" si="2"/>
        <v>1.1500524738771389E-2</v>
      </c>
      <c r="O9" s="99">
        <f t="shared" si="2"/>
        <v>0</v>
      </c>
      <c r="P9" s="149"/>
      <c r="Q9" s="112"/>
    </row>
    <row r="10" spans="1:17" ht="16.5" customHeight="1" x14ac:dyDescent="0.25">
      <c r="A10" s="135"/>
      <c r="B10" s="134" t="s">
        <v>73</v>
      </c>
      <c r="C10" s="133">
        <f t="shared" ref="C10:O10" si="3">C8*(1+C9)</f>
        <v>5132922.0099518634</v>
      </c>
      <c r="D10" s="133">
        <f t="shared" si="3"/>
        <v>5218563.516665088</v>
      </c>
      <c r="E10" s="133">
        <f t="shared" si="3"/>
        <v>1745330.5226635297</v>
      </c>
      <c r="F10" s="133">
        <f t="shared" si="3"/>
        <v>5704779.4514671853</v>
      </c>
      <c r="G10" s="133">
        <f t="shared" si="3"/>
        <v>2773816.336530643</v>
      </c>
      <c r="H10" s="133">
        <f t="shared" si="3"/>
        <v>878603.15192554181</v>
      </c>
      <c r="I10" s="133">
        <f t="shared" si="3"/>
        <v>2174103.2928113081</v>
      </c>
      <c r="J10" s="133">
        <f t="shared" si="3"/>
        <v>1584672.7120742614</v>
      </c>
      <c r="K10" s="133">
        <f t="shared" si="3"/>
        <v>7244160.6424216032</v>
      </c>
      <c r="L10" s="133">
        <f t="shared" si="3"/>
        <v>4886314.5524666281</v>
      </c>
      <c r="M10" s="133">
        <f t="shared" si="3"/>
        <v>1859323.0661277876</v>
      </c>
      <c r="N10" s="133">
        <f t="shared" si="3"/>
        <v>3300064.2759277504</v>
      </c>
      <c r="O10" s="133">
        <f t="shared" si="3"/>
        <v>4532452.7824037597</v>
      </c>
      <c r="P10" s="137">
        <f>SUM(C10:O10)</f>
        <v>47035106.313436948</v>
      </c>
      <c r="Q10" s="112"/>
    </row>
    <row r="11" spans="1:17" ht="14.65" customHeight="1" x14ac:dyDescent="0.25">
      <c r="A11" s="135"/>
      <c r="B11" s="134" t="s">
        <v>72</v>
      </c>
      <c r="C11" s="136"/>
      <c r="D11" s="136">
        <f>D39/C39</f>
        <v>1.0042994529923215</v>
      </c>
      <c r="E11" s="136">
        <f>E39/D39</f>
        <v>1.0074996156787503</v>
      </c>
      <c r="F11" s="136">
        <f>F39/E39</f>
        <v>1.0056996950247901</v>
      </c>
      <c r="G11" s="136"/>
      <c r="H11" s="136">
        <f>H39/F39</f>
        <v>1.0013001778382096</v>
      </c>
      <c r="I11" s="136">
        <f>I39/G39</f>
        <v>1.0000997362742747</v>
      </c>
      <c r="J11" s="136">
        <f t="shared" ref="J11:O11" si="4">J39/I39</f>
        <v>1.0019005536729015</v>
      </c>
      <c r="K11" s="136">
        <f t="shared" si="4"/>
        <v>1.0011006512026768</v>
      </c>
      <c r="L11" s="136">
        <f t="shared" si="4"/>
        <v>0.99960037706049598</v>
      </c>
      <c r="M11" s="136">
        <f t="shared" si="4"/>
        <v>1.0010004131725529</v>
      </c>
      <c r="N11" s="136">
        <f t="shared" si="4"/>
        <v>1.0051002566371174</v>
      </c>
      <c r="O11" s="136">
        <f t="shared" si="4"/>
        <v>1.0115005247387714</v>
      </c>
      <c r="P11" s="148"/>
      <c r="Q11" s="112"/>
    </row>
    <row r="12" spans="1:17" ht="12.75" customHeight="1" x14ac:dyDescent="0.25">
      <c r="A12" s="135"/>
      <c r="B12" s="134" t="s">
        <v>71</v>
      </c>
      <c r="C12" s="133">
        <f>C8</f>
        <v>4936760.9831084982</v>
      </c>
      <c r="D12" s="133">
        <f>C12*D11+D8</f>
        <v>9998695.4592918847</v>
      </c>
      <c r="E12" s="133">
        <f>D12*E11+E8</f>
        <v>11772172.772081804</v>
      </c>
      <c r="F12" s="133">
        <f>E12*F11+F8</f>
        <v>17422593.250407986</v>
      </c>
      <c r="G12" s="133">
        <f>F12*H11+G8</f>
        <v>20163536.199729297</v>
      </c>
      <c r="H12" s="133">
        <f t="shared" ref="H12:O12" si="5">G12*H11+H8</f>
        <v>21050767.782918401</v>
      </c>
      <c r="I12" s="133">
        <f t="shared" si="5"/>
        <v>23183662.209925164</v>
      </c>
      <c r="J12" s="133">
        <f t="shared" si="5"/>
        <v>24783781.612289943</v>
      </c>
      <c r="K12" s="133">
        <f t="shared" si="5"/>
        <v>31932239.004156735</v>
      </c>
      <c r="L12" s="133">
        <f t="shared" si="5"/>
        <v>36720919.936444759</v>
      </c>
      <c r="M12" s="133">
        <f t="shared" si="5"/>
        <v>38586511.393837139</v>
      </c>
      <c r="N12" s="133">
        <f t="shared" si="5"/>
        <v>42045855.820489697</v>
      </c>
      <c r="O12" s="133">
        <f t="shared" si="5"/>
        <v>47061858.007919811</v>
      </c>
      <c r="P12" s="147"/>
      <c r="Q12" s="112"/>
    </row>
    <row r="13" spans="1:17" ht="13.5" customHeight="1" x14ac:dyDescent="0.25">
      <c r="F13" s="145"/>
      <c r="G13" s="146"/>
      <c r="H13" s="146"/>
      <c r="I13" s="145"/>
      <c r="J13" s="145"/>
      <c r="K13" s="145"/>
      <c r="L13" s="145"/>
      <c r="M13" s="145"/>
      <c r="N13" s="145"/>
      <c r="O13" s="145"/>
      <c r="P13" s="145"/>
      <c r="Q13" s="112"/>
    </row>
    <row r="14" spans="1:17" ht="20.100000000000001" customHeight="1" x14ac:dyDescent="0.25">
      <c r="B14" s="128" t="s">
        <v>80</v>
      </c>
      <c r="C14" s="127">
        <v>43466</v>
      </c>
      <c r="D14" s="127">
        <v>43497</v>
      </c>
      <c r="E14" s="127">
        <v>43525</v>
      </c>
      <c r="F14" s="127">
        <v>43556</v>
      </c>
      <c r="G14" s="127">
        <v>43586</v>
      </c>
      <c r="H14" s="127">
        <v>43586</v>
      </c>
      <c r="I14" s="127">
        <v>43617</v>
      </c>
      <c r="J14" s="127">
        <v>43647</v>
      </c>
      <c r="K14" s="127">
        <v>43678</v>
      </c>
      <c r="L14" s="127">
        <v>43709</v>
      </c>
      <c r="M14" s="127">
        <v>43739</v>
      </c>
      <c r="N14" s="127">
        <v>43770</v>
      </c>
      <c r="O14" s="127">
        <v>43800</v>
      </c>
      <c r="P14" s="127" t="s">
        <v>7</v>
      </c>
      <c r="Q14" s="112"/>
    </row>
    <row r="15" spans="1:17" ht="15" customHeight="1" x14ac:dyDescent="0.25">
      <c r="B15" s="126" t="s">
        <v>78</v>
      </c>
      <c r="C15" s="117">
        <v>9587973.7100000009</v>
      </c>
      <c r="D15" s="117">
        <v>8124189.0999999996</v>
      </c>
      <c r="E15" s="117">
        <v>7499802.7400000002</v>
      </c>
      <c r="F15" s="117">
        <v>10429270.98</v>
      </c>
      <c r="G15" s="117">
        <v>4609373.7806451609</v>
      </c>
      <c r="H15" s="117">
        <v>4321287.9193548383</v>
      </c>
      <c r="I15" s="117">
        <v>6508705.6500000004</v>
      </c>
      <c r="J15" s="117">
        <v>11493553.85</v>
      </c>
      <c r="K15" s="117">
        <v>9558382.8900000006</v>
      </c>
      <c r="L15" s="117">
        <v>10785073.460000001</v>
      </c>
      <c r="M15" s="117">
        <v>11804394.699999999</v>
      </c>
      <c r="N15" s="117">
        <v>11732777.4</v>
      </c>
      <c r="O15" s="117">
        <v>13441157.08</v>
      </c>
      <c r="P15" s="141">
        <f>SUM(C15:O15)</f>
        <v>119895943.26000002</v>
      </c>
      <c r="Q15" s="112"/>
    </row>
    <row r="16" spans="1:17" ht="15" hidden="1" customHeight="1" x14ac:dyDescent="0.25">
      <c r="B16" s="126" t="s">
        <v>77</v>
      </c>
      <c r="C16" s="117">
        <f t="shared" ref="C16:P16" si="6">C5</f>
        <v>80477286</v>
      </c>
      <c r="D16" s="117">
        <f t="shared" si="6"/>
        <v>79912952</v>
      </c>
      <c r="E16" s="117">
        <f t="shared" si="6"/>
        <v>77009944</v>
      </c>
      <c r="F16" s="117">
        <f t="shared" si="6"/>
        <v>73004144</v>
      </c>
      <c r="G16" s="117">
        <f t="shared" si="6"/>
        <v>39222793.290322579</v>
      </c>
      <c r="H16" s="117">
        <f t="shared" si="6"/>
        <v>36771368.709677421</v>
      </c>
      <c r="I16" s="117">
        <f t="shared" si="6"/>
        <v>73841348</v>
      </c>
      <c r="J16" s="117">
        <f t="shared" si="6"/>
        <v>74738478</v>
      </c>
      <c r="K16" s="117">
        <f t="shared" si="6"/>
        <v>75806133</v>
      </c>
      <c r="L16" s="117">
        <f t="shared" si="6"/>
        <v>77782396</v>
      </c>
      <c r="M16" s="117">
        <f t="shared" si="6"/>
        <v>79950635</v>
      </c>
      <c r="N16" s="117">
        <f t="shared" si="6"/>
        <v>80835144</v>
      </c>
      <c r="O16" s="117">
        <f t="shared" si="6"/>
        <v>78339914</v>
      </c>
      <c r="P16" s="141">
        <f t="shared" si="6"/>
        <v>927692536</v>
      </c>
      <c r="Q16" s="112"/>
    </row>
    <row r="17" spans="1:17" ht="14.65" customHeight="1" x14ac:dyDescent="0.25">
      <c r="B17" s="126" t="s">
        <v>76</v>
      </c>
      <c r="C17" s="144">
        <v>9.3925998456334897E-2</v>
      </c>
      <c r="D17" s="144">
        <v>9.3925998456334897E-2</v>
      </c>
      <c r="E17" s="144">
        <v>9.3925998456334897E-2</v>
      </c>
      <c r="F17" s="144">
        <v>9.3925998456334897E-2</v>
      </c>
      <c r="G17" s="144">
        <v>9.3925998456334897E-2</v>
      </c>
      <c r="H17" s="144">
        <v>8.9171872075505393E-2</v>
      </c>
      <c r="I17" s="144">
        <v>8.9171872075505393E-2</v>
      </c>
      <c r="J17" s="144">
        <v>8.9171872075505393E-2</v>
      </c>
      <c r="K17" s="144">
        <v>8.9171872075505393E-2</v>
      </c>
      <c r="L17" s="144">
        <v>8.9171872075505393E-2</v>
      </c>
      <c r="M17" s="144">
        <v>8.9171872075505393E-2</v>
      </c>
      <c r="N17" s="144">
        <v>8.9171872075505393E-2</v>
      </c>
      <c r="O17" s="144">
        <v>8.9171872075505393E-2</v>
      </c>
      <c r="P17" s="142"/>
      <c r="Q17" s="112"/>
    </row>
    <row r="18" spans="1:17" ht="12.75" customHeight="1" x14ac:dyDescent="0.25">
      <c r="B18" s="126" t="s">
        <v>75</v>
      </c>
      <c r="C18" s="117">
        <f t="shared" ref="C18:O18" si="7">C17*C16</f>
        <v>7558909.4406060223</v>
      </c>
      <c r="D18" s="117">
        <f t="shared" si="7"/>
        <v>7505903.8061931645</v>
      </c>
      <c r="E18" s="117">
        <f t="shared" si="7"/>
        <v>7233235.8812664365</v>
      </c>
      <c r="F18" s="117">
        <f t="shared" si="7"/>
        <v>6856987.1166500505</v>
      </c>
      <c r="G18" s="117">
        <f t="shared" si="7"/>
        <v>3684040.0220399816</v>
      </c>
      <c r="H18" s="117">
        <f t="shared" si="7"/>
        <v>3278971.7866205969</v>
      </c>
      <c r="I18" s="117">
        <f t="shared" si="7"/>
        <v>6584571.2377388757</v>
      </c>
      <c r="J18" s="117">
        <f t="shared" si="7"/>
        <v>6664569.999333974</v>
      </c>
      <c r="K18" s="117">
        <f t="shared" si="7"/>
        <v>6759774.7944147475</v>
      </c>
      <c r="L18" s="117">
        <f t="shared" si="7"/>
        <v>6936001.8658383023</v>
      </c>
      <c r="M18" s="117">
        <f t="shared" si="7"/>
        <v>7129347.7965754243</v>
      </c>
      <c r="N18" s="117">
        <f t="shared" si="7"/>
        <v>7208221.1199730569</v>
      </c>
      <c r="O18" s="117">
        <f t="shared" si="7"/>
        <v>6985716.7896140944</v>
      </c>
      <c r="P18" s="141">
        <f>SUM(C18:O18)</f>
        <v>84386251.656864733</v>
      </c>
      <c r="Q18" s="112"/>
    </row>
    <row r="19" spans="1:17" ht="15" customHeight="1" x14ac:dyDescent="0.25">
      <c r="B19" s="140" t="s">
        <v>74</v>
      </c>
      <c r="C19" s="139">
        <f t="shared" ref="C19:O19" si="8">C15-C18</f>
        <v>2029064.2693939786</v>
      </c>
      <c r="D19" s="139">
        <f t="shared" si="8"/>
        <v>618285.29380683508</v>
      </c>
      <c r="E19" s="139">
        <f t="shared" si="8"/>
        <v>266566.85873356368</v>
      </c>
      <c r="F19" s="139">
        <f t="shared" si="8"/>
        <v>3572283.8633499499</v>
      </c>
      <c r="G19" s="139">
        <f t="shared" si="8"/>
        <v>925333.75860517938</v>
      </c>
      <c r="H19" s="139">
        <f t="shared" si="8"/>
        <v>1042316.1327342414</v>
      </c>
      <c r="I19" s="139">
        <f t="shared" si="8"/>
        <v>-75865.5877388753</v>
      </c>
      <c r="J19" s="139">
        <f t="shared" si="8"/>
        <v>4828983.8506660257</v>
      </c>
      <c r="K19" s="139">
        <f t="shared" si="8"/>
        <v>2798608.0955852531</v>
      </c>
      <c r="L19" s="139">
        <f t="shared" si="8"/>
        <v>3849071.5941616986</v>
      </c>
      <c r="M19" s="139">
        <f t="shared" si="8"/>
        <v>4675046.903424575</v>
      </c>
      <c r="N19" s="139">
        <f t="shared" si="8"/>
        <v>4524556.2800269434</v>
      </c>
      <c r="O19" s="139">
        <f t="shared" si="8"/>
        <v>6455440.2903859057</v>
      </c>
      <c r="P19" s="138">
        <f>SUM(C19:O19)</f>
        <v>35509691.603135273</v>
      </c>
      <c r="Q19" s="112"/>
    </row>
    <row r="20" spans="1:17" ht="14.65" customHeight="1" x14ac:dyDescent="0.25">
      <c r="B20" s="126" t="s">
        <v>67</v>
      </c>
      <c r="C20" s="99">
        <f>C9</f>
        <v>3.9734762836310056E-2</v>
      </c>
      <c r="D20" s="99">
        <f>D9</f>
        <v>3.5283609623014911E-2</v>
      </c>
      <c r="E20" s="99">
        <f>E9</f>
        <v>2.75771757248231E-2</v>
      </c>
      <c r="F20" s="99">
        <f>F9</f>
        <v>2.1753492427472487E-2</v>
      </c>
      <c r="G20" s="99"/>
      <c r="H20" s="99">
        <f t="shared" ref="H20:O20" si="9">H9</f>
        <v>2.0426756173579586E-2</v>
      </c>
      <c r="I20" s="99">
        <f t="shared" si="9"/>
        <v>2.0324992760252014E-2</v>
      </c>
      <c r="J20" s="99">
        <f t="shared" si="9"/>
        <v>1.8389488876723092E-2</v>
      </c>
      <c r="K20" s="99">
        <f t="shared" si="9"/>
        <v>1.7269829615310206E-2</v>
      </c>
      <c r="L20" s="99">
        <f t="shared" si="9"/>
        <v>1.7676516496296646E-2</v>
      </c>
      <c r="M20" s="99">
        <f t="shared" si="9"/>
        <v>1.6659437003518018E-2</v>
      </c>
      <c r="N20" s="99">
        <f t="shared" si="9"/>
        <v>1.1500524738771389E-2</v>
      </c>
      <c r="O20" s="99">
        <f t="shared" si="9"/>
        <v>0</v>
      </c>
      <c r="P20" s="138"/>
      <c r="Q20" s="112"/>
    </row>
    <row r="21" spans="1:17" ht="16.5" customHeight="1" x14ac:dyDescent="0.25">
      <c r="A21" s="135"/>
      <c r="B21" s="134" t="s">
        <v>73</v>
      </c>
      <c r="C21" s="133">
        <f>C19*(1+C20)</f>
        <v>2109688.656917979</v>
      </c>
      <c r="D21" s="133">
        <f>D19*(1+D20)</f>
        <v>640100.63074916648</v>
      </c>
      <c r="E21" s="133">
        <f>E19*(1+E20)</f>
        <v>273918.01983927324</v>
      </c>
      <c r="F21" s="133">
        <f>F19*(1+F20)</f>
        <v>3649993.5133201154</v>
      </c>
      <c r="G21" s="133">
        <f>G19*(1+H20)</f>
        <v>944235.32567138935</v>
      </c>
      <c r="H21" s="133">
        <f t="shared" ref="H21:O21" si="10">H19*(1+H20)</f>
        <v>1063607.2702333922</v>
      </c>
      <c r="I21" s="133">
        <f t="shared" si="10"/>
        <v>-77407.555260420209</v>
      </c>
      <c r="J21" s="133">
        <f t="shared" si="10"/>
        <v>4917786.3954737242</v>
      </c>
      <c r="K21" s="133">
        <f t="shared" si="10"/>
        <v>2846939.5805560383</v>
      </c>
      <c r="L21" s="133">
        <f t="shared" si="10"/>
        <v>3917109.7716913247</v>
      </c>
      <c r="M21" s="133">
        <f t="shared" si="10"/>
        <v>4752930.5528006684</v>
      </c>
      <c r="N21" s="133">
        <f t="shared" si="10"/>
        <v>4576591.0514573567</v>
      </c>
      <c r="O21" s="133">
        <f t="shared" si="10"/>
        <v>6455440.2903859057</v>
      </c>
      <c r="P21" s="137">
        <f>SUM(C21:O21)</f>
        <v>36070933.503835917</v>
      </c>
      <c r="Q21" s="112"/>
    </row>
    <row r="22" spans="1:17" ht="16.5" customHeight="1" x14ac:dyDescent="0.25">
      <c r="A22" s="135"/>
      <c r="B22" s="134" t="s">
        <v>72</v>
      </c>
      <c r="C22" s="136"/>
      <c r="D22" s="136">
        <f>D11</f>
        <v>1.0042994529923215</v>
      </c>
      <c r="E22" s="136">
        <f>E11</f>
        <v>1.0074996156787503</v>
      </c>
      <c r="F22" s="136">
        <f>F11</f>
        <v>1.0056996950247901</v>
      </c>
      <c r="G22" s="136"/>
      <c r="H22" s="136">
        <f t="shared" ref="H22:N22" si="11">H11</f>
        <v>1.0013001778382096</v>
      </c>
      <c r="I22" s="136">
        <f t="shared" si="11"/>
        <v>1.0000997362742747</v>
      </c>
      <c r="J22" s="136">
        <f t="shared" si="11"/>
        <v>1.0019005536729015</v>
      </c>
      <c r="K22" s="136">
        <f t="shared" si="11"/>
        <v>1.0011006512026768</v>
      </c>
      <c r="L22" s="136">
        <f t="shared" si="11"/>
        <v>0.99960037706049598</v>
      </c>
      <c r="M22" s="136">
        <f t="shared" si="11"/>
        <v>1.0010004131725529</v>
      </c>
      <c r="N22" s="136">
        <f t="shared" si="11"/>
        <v>1.0051002566371174</v>
      </c>
      <c r="O22" s="136">
        <v>1.0015001070102501</v>
      </c>
      <c r="P22" s="133"/>
      <c r="Q22" s="112"/>
    </row>
    <row r="23" spans="1:17" ht="16.5" customHeight="1" x14ac:dyDescent="0.25">
      <c r="A23" s="135"/>
      <c r="B23" s="134" t="s">
        <v>71</v>
      </c>
      <c r="C23" s="133">
        <f>C19</f>
        <v>2029064.2693939786</v>
      </c>
      <c r="D23" s="133">
        <f>C23*D22+D19</f>
        <v>2656073.4296454722</v>
      </c>
      <c r="E23" s="133">
        <f>D23*E22+E19</f>
        <v>2942559.8183159172</v>
      </c>
      <c r="F23" s="133">
        <f>E23*F22+F19</f>
        <v>6531615.3752224697</v>
      </c>
      <c r="G23" s="133"/>
      <c r="H23" s="133">
        <f>F23*H22+H19</f>
        <v>7582423.7695152834</v>
      </c>
      <c r="I23" s="133">
        <f t="shared" ref="I23:O23" si="12">H23*I22+I19</f>
        <v>7507314.4244731516</v>
      </c>
      <c r="J23" s="133">
        <f t="shared" si="12"/>
        <v>12350566.329142235</v>
      </c>
      <c r="K23" s="133">
        <f t="shared" si="12"/>
        <v>15162768.090411399</v>
      </c>
      <c r="L23" s="133">
        <f t="shared" si="12"/>
        <v>19005780.294617787</v>
      </c>
      <c r="M23" s="133">
        <f t="shared" si="12"/>
        <v>23699840.831003744</v>
      </c>
      <c r="N23" s="133">
        <f t="shared" si="12"/>
        <v>28345272.38152764</v>
      </c>
      <c r="O23" s="133">
        <f t="shared" si="12"/>
        <v>34843233.613720521</v>
      </c>
      <c r="P23" s="133"/>
      <c r="Q23" s="112"/>
    </row>
    <row r="24" spans="1:17" ht="13.5" customHeight="1" x14ac:dyDescent="0.25">
      <c r="Q24" s="112"/>
    </row>
    <row r="25" spans="1:17" ht="20.100000000000001" customHeight="1" x14ac:dyDescent="0.25">
      <c r="B25" s="128" t="s">
        <v>79</v>
      </c>
      <c r="C25" s="127">
        <v>43466</v>
      </c>
      <c r="D25" s="127">
        <v>43497</v>
      </c>
      <c r="E25" s="127">
        <v>43525</v>
      </c>
      <c r="F25" s="127">
        <v>43556</v>
      </c>
      <c r="G25" s="127">
        <v>43586</v>
      </c>
      <c r="H25" s="127">
        <v>43586</v>
      </c>
      <c r="I25" s="127">
        <v>43617</v>
      </c>
      <c r="J25" s="127">
        <v>43647</v>
      </c>
      <c r="K25" s="127">
        <v>43678</v>
      </c>
      <c r="L25" s="127">
        <v>43709</v>
      </c>
      <c r="M25" s="127">
        <v>43739</v>
      </c>
      <c r="N25" s="127">
        <v>43770</v>
      </c>
      <c r="O25" s="127">
        <v>43800</v>
      </c>
      <c r="P25" s="127" t="s">
        <v>7</v>
      </c>
      <c r="Q25" s="112"/>
    </row>
    <row r="26" spans="1:17" ht="14.65" customHeight="1" x14ac:dyDescent="0.25">
      <c r="B26" s="126" t="s">
        <v>78</v>
      </c>
      <c r="C26" s="117">
        <v>8351145.1500000013</v>
      </c>
      <c r="D26" s="117">
        <v>10930050.929999998</v>
      </c>
      <c r="E26" s="117">
        <v>36366027.159999996</v>
      </c>
      <c r="F26" s="117">
        <v>6160736.9299999988</v>
      </c>
      <c r="G26" s="117">
        <v>3791315.8606451591</v>
      </c>
      <c r="H26" s="117">
        <v>3554358.6193548371</v>
      </c>
      <c r="I26" s="117">
        <v>6578709.9000000022</v>
      </c>
      <c r="J26" s="117">
        <v>7096612.8099999968</v>
      </c>
      <c r="K26" s="117">
        <v>7395818.2500000019</v>
      </c>
      <c r="L26" s="117">
        <v>7435975.8199999975</v>
      </c>
      <c r="M26" s="117">
        <v>7200711.4300000016</v>
      </c>
      <c r="N26" s="117">
        <v>7498751.7400000002</v>
      </c>
      <c r="O26" s="117">
        <v>7137413.3899999969</v>
      </c>
      <c r="P26" s="141">
        <f>SUM(C26:O26)</f>
        <v>119497627.98999999</v>
      </c>
      <c r="Q26" s="112"/>
    </row>
    <row r="27" spans="1:17" ht="14.65" customHeight="1" x14ac:dyDescent="0.25">
      <c r="B27" s="126" t="s">
        <v>77</v>
      </c>
      <c r="C27" s="117">
        <f t="shared" ref="C27:P27" si="13">C16</f>
        <v>80477286</v>
      </c>
      <c r="D27" s="117">
        <f t="shared" si="13"/>
        <v>79912952</v>
      </c>
      <c r="E27" s="117">
        <f t="shared" si="13"/>
        <v>77009944</v>
      </c>
      <c r="F27" s="117">
        <f t="shared" si="13"/>
        <v>73004144</v>
      </c>
      <c r="G27" s="117">
        <f t="shared" si="13"/>
        <v>39222793.290322579</v>
      </c>
      <c r="H27" s="117">
        <f t="shared" si="13"/>
        <v>36771368.709677421</v>
      </c>
      <c r="I27" s="117">
        <f t="shared" si="13"/>
        <v>73841348</v>
      </c>
      <c r="J27" s="117">
        <f t="shared" si="13"/>
        <v>74738478</v>
      </c>
      <c r="K27" s="117">
        <f t="shared" si="13"/>
        <v>75806133</v>
      </c>
      <c r="L27" s="117">
        <f t="shared" si="13"/>
        <v>77782396</v>
      </c>
      <c r="M27" s="117">
        <f t="shared" si="13"/>
        <v>79950635</v>
      </c>
      <c r="N27" s="117">
        <f t="shared" si="13"/>
        <v>80835144</v>
      </c>
      <c r="O27" s="117">
        <f t="shared" si="13"/>
        <v>78339914</v>
      </c>
      <c r="P27" s="141">
        <f t="shared" si="13"/>
        <v>927692536</v>
      </c>
      <c r="Q27" s="112"/>
    </row>
    <row r="28" spans="1:17" ht="14.65" customHeight="1" x14ac:dyDescent="0.25">
      <c r="B28" s="126" t="s">
        <v>76</v>
      </c>
      <c r="C28" s="143">
        <v>5.3713347081770099E-2</v>
      </c>
      <c r="D28" s="143">
        <v>5.3713347081770099E-2</v>
      </c>
      <c r="E28" s="143">
        <v>5.3713347081770099E-2</v>
      </c>
      <c r="F28" s="143">
        <v>5.3713347081770099E-2</v>
      </c>
      <c r="G28" s="143">
        <v>5.3713347081770099E-2</v>
      </c>
      <c r="H28" s="143">
        <v>0.11501267344075401</v>
      </c>
      <c r="I28" s="143">
        <v>0.11501267344075401</v>
      </c>
      <c r="J28" s="143">
        <v>0.11501267344075401</v>
      </c>
      <c r="K28" s="143">
        <v>0.11501267344075401</v>
      </c>
      <c r="L28" s="143">
        <v>0.11501267344075401</v>
      </c>
      <c r="M28" s="143">
        <v>0.11501267344075401</v>
      </c>
      <c r="N28" s="143">
        <v>0.11501267344075401</v>
      </c>
      <c r="O28" s="143">
        <v>0.11501267344075401</v>
      </c>
      <c r="P28" s="142"/>
      <c r="Q28" s="112"/>
    </row>
    <row r="29" spans="1:17" ht="12.75" customHeight="1" x14ac:dyDescent="0.25">
      <c r="B29" s="126" t="s">
        <v>75</v>
      </c>
      <c r="C29" s="117">
        <f t="shared" ref="C29:O29" si="14">C28*C27</f>
        <v>4322704.3951168777</v>
      </c>
      <c r="D29" s="117">
        <f t="shared" si="14"/>
        <v>4292392.1271048337</v>
      </c>
      <c r="E29" s="117">
        <f t="shared" si="14"/>
        <v>4136461.850819679</v>
      </c>
      <c r="F29" s="117">
        <f t="shared" si="14"/>
        <v>3921296.9250795241</v>
      </c>
      <c r="G29" s="117">
        <f t="shared" si="14"/>
        <v>2106787.5095196203</v>
      </c>
      <c r="H29" s="117">
        <f t="shared" si="14"/>
        <v>4229173.4213756891</v>
      </c>
      <c r="I29" s="117">
        <f t="shared" si="14"/>
        <v>8492690.8439490739</v>
      </c>
      <c r="J29" s="117">
        <f t="shared" si="14"/>
        <v>8595872.1636729781</v>
      </c>
      <c r="K29" s="117">
        <f t="shared" si="14"/>
        <v>8718666.0195353664</v>
      </c>
      <c r="L29" s="117">
        <f t="shared" si="14"/>
        <v>8945961.3105874117</v>
      </c>
      <c r="M29" s="117">
        <f t="shared" si="14"/>
        <v>9195336.2746359184</v>
      </c>
      <c r="N29" s="117">
        <f t="shared" si="14"/>
        <v>9297066.0194083266</v>
      </c>
      <c r="O29" s="117">
        <f t="shared" si="14"/>
        <v>9010082.9462587535</v>
      </c>
      <c r="P29" s="141">
        <f>SUM(C29:O29)</f>
        <v>85264491.807064056</v>
      </c>
      <c r="Q29" s="112"/>
    </row>
    <row r="30" spans="1:17" ht="15" customHeight="1" x14ac:dyDescent="0.25">
      <c r="B30" s="140" t="s">
        <v>74</v>
      </c>
      <c r="C30" s="139">
        <f t="shared" ref="C30:O30" si="15">C26-C29</f>
        <v>4028440.7548831236</v>
      </c>
      <c r="D30" s="139">
        <f t="shared" si="15"/>
        <v>6637658.8028951641</v>
      </c>
      <c r="E30" s="139">
        <f t="shared" si="15"/>
        <v>32229565.309180319</v>
      </c>
      <c r="F30" s="139">
        <f t="shared" si="15"/>
        <v>2239440.0049204747</v>
      </c>
      <c r="G30" s="139">
        <f t="shared" si="15"/>
        <v>1684528.3511255388</v>
      </c>
      <c r="H30" s="139">
        <f t="shared" si="15"/>
        <v>-674814.80202085199</v>
      </c>
      <c r="I30" s="139">
        <f t="shared" si="15"/>
        <v>-1913980.9439490717</v>
      </c>
      <c r="J30" s="139">
        <f t="shared" si="15"/>
        <v>-1499259.3536729813</v>
      </c>
      <c r="K30" s="139">
        <f t="shared" si="15"/>
        <v>-1322847.7695353646</v>
      </c>
      <c r="L30" s="139">
        <f t="shared" si="15"/>
        <v>-1509985.4905874142</v>
      </c>
      <c r="M30" s="139">
        <f t="shared" si="15"/>
        <v>-1994624.8446359169</v>
      </c>
      <c r="N30" s="139">
        <f t="shared" si="15"/>
        <v>-1798314.2794083264</v>
      </c>
      <c r="O30" s="139">
        <f t="shared" si="15"/>
        <v>-1872669.5562587567</v>
      </c>
      <c r="P30" s="138">
        <f>SUM(C30:O30)</f>
        <v>34233136.182935923</v>
      </c>
      <c r="Q30" s="112"/>
    </row>
    <row r="31" spans="1:17" ht="14.65" customHeight="1" x14ac:dyDescent="0.25">
      <c r="B31" s="126" t="s">
        <v>67</v>
      </c>
      <c r="C31" s="99">
        <f>C20</f>
        <v>3.9734762836310056E-2</v>
      </c>
      <c r="D31" s="99">
        <f>D20</f>
        <v>3.5283609623014911E-2</v>
      </c>
      <c r="E31" s="99">
        <f>E20</f>
        <v>2.75771757248231E-2</v>
      </c>
      <c r="F31" s="99">
        <f>F20</f>
        <v>2.1753492427472487E-2</v>
      </c>
      <c r="G31" s="99"/>
      <c r="H31" s="99">
        <f t="shared" ref="H31:O31" si="16">H20</f>
        <v>2.0426756173579586E-2</v>
      </c>
      <c r="I31" s="99">
        <f t="shared" si="16"/>
        <v>2.0324992760252014E-2</v>
      </c>
      <c r="J31" s="99">
        <f t="shared" si="16"/>
        <v>1.8389488876723092E-2</v>
      </c>
      <c r="K31" s="99">
        <f t="shared" si="16"/>
        <v>1.7269829615310206E-2</v>
      </c>
      <c r="L31" s="99">
        <f t="shared" si="16"/>
        <v>1.7676516496296646E-2</v>
      </c>
      <c r="M31" s="99">
        <f t="shared" si="16"/>
        <v>1.6659437003518018E-2</v>
      </c>
      <c r="N31" s="99">
        <f t="shared" si="16"/>
        <v>1.1500524738771389E-2</v>
      </c>
      <c r="O31" s="99">
        <f t="shared" si="16"/>
        <v>0</v>
      </c>
      <c r="P31" s="138"/>
      <c r="Q31" s="112"/>
    </row>
    <row r="32" spans="1:17" ht="16.5" customHeight="1" x14ac:dyDescent="0.25">
      <c r="A32" s="135"/>
      <c r="B32" s="134" t="s">
        <v>73</v>
      </c>
      <c r="C32" s="133">
        <f>C30*(1+C31)</f>
        <v>4188509.8928785305</v>
      </c>
      <c r="D32" s="133">
        <f>D30*(1+D31)</f>
        <v>6871859.3649072852</v>
      </c>
      <c r="E32" s="133">
        <f>E30*(1+E31)</f>
        <v>33118365.695246246</v>
      </c>
      <c r="F32" s="133">
        <f>F30*(1+F31)</f>
        <v>2288155.6461092914</v>
      </c>
      <c r="G32" s="133">
        <f>G30*(1+H31)</f>
        <v>1718937.8010214623</v>
      </c>
      <c r="H32" s="133">
        <f t="shared" ref="H32:O32" si="17">H30*(1+H31)</f>
        <v>-688599.07944405428</v>
      </c>
      <c r="I32" s="133">
        <f t="shared" si="17"/>
        <v>-1952882.5927780969</v>
      </c>
      <c r="J32" s="133">
        <f t="shared" si="17"/>
        <v>-1526829.9668806735</v>
      </c>
      <c r="K32" s="133">
        <f t="shared" si="17"/>
        <v>-1345693.1251222335</v>
      </c>
      <c r="L32" s="133">
        <f t="shared" si="17"/>
        <v>-1536676.7740209512</v>
      </c>
      <c r="M32" s="133">
        <f t="shared" si="17"/>
        <v>-2027854.1715807808</v>
      </c>
      <c r="N32" s="133">
        <f t="shared" si="17"/>
        <v>-1818995.8372667476</v>
      </c>
      <c r="O32" s="133">
        <f t="shared" si="17"/>
        <v>-1872669.5562587567</v>
      </c>
      <c r="P32" s="137">
        <f>SUM(C32:O32)</f>
        <v>35415627.296810523</v>
      </c>
      <c r="Q32" s="112"/>
    </row>
    <row r="33" spans="1:17" ht="16.5" customHeight="1" x14ac:dyDescent="0.25">
      <c r="A33" s="135"/>
      <c r="B33" s="134" t="s">
        <v>72</v>
      </c>
      <c r="C33" s="136"/>
      <c r="D33" s="136">
        <f>D22</f>
        <v>1.0042994529923215</v>
      </c>
      <c r="E33" s="136">
        <f>E22</f>
        <v>1.0074996156787503</v>
      </c>
      <c r="F33" s="136">
        <f>F22</f>
        <v>1.0056996950247901</v>
      </c>
      <c r="G33" s="136"/>
      <c r="H33" s="136">
        <f t="shared" ref="H33:N33" si="18">H22</f>
        <v>1.0013001778382096</v>
      </c>
      <c r="I33" s="136">
        <f t="shared" si="18"/>
        <v>1.0000997362742747</v>
      </c>
      <c r="J33" s="136">
        <f t="shared" si="18"/>
        <v>1.0019005536729015</v>
      </c>
      <c r="K33" s="136">
        <f t="shared" si="18"/>
        <v>1.0011006512026768</v>
      </c>
      <c r="L33" s="136">
        <f t="shared" si="18"/>
        <v>0.99960037706049598</v>
      </c>
      <c r="M33" s="136">
        <f t="shared" si="18"/>
        <v>1.0010004131725529</v>
      </c>
      <c r="N33" s="136">
        <f t="shared" si="18"/>
        <v>1.0051002566371174</v>
      </c>
      <c r="O33" s="136">
        <v>1.0015001070102501</v>
      </c>
      <c r="P33" s="133"/>
      <c r="Q33" s="112"/>
    </row>
    <row r="34" spans="1:17" ht="16.5" customHeight="1" x14ac:dyDescent="0.25">
      <c r="A34" s="135"/>
      <c r="B34" s="134" t="s">
        <v>71</v>
      </c>
      <c r="C34" s="133">
        <f>C30</f>
        <v>4028440.7548831236</v>
      </c>
      <c r="D34" s="133">
        <f>C34*D33+D30</f>
        <v>10683419.64943626</v>
      </c>
      <c r="E34" s="133">
        <f>D34*E33+E30</f>
        <v>42993106.50012216</v>
      </c>
      <c r="F34" s="133">
        <f>E34*F33+F30</f>
        <v>45477594.100261651</v>
      </c>
      <c r="G34" s="133"/>
      <c r="H34" s="133">
        <f>F34*H33+H30</f>
        <v>44861908.258225046</v>
      </c>
      <c r="I34" s="133">
        <f t="shared" ref="I34:O34" si="19">H34*I33+I30</f>
        <v>42952401.673862502</v>
      </c>
      <c r="J34" s="133">
        <f t="shared" si="19"/>
        <v>41534775.664950721</v>
      </c>
      <c r="K34" s="133">
        <f t="shared" si="19"/>
        <v>40257643.196203895</v>
      </c>
      <c r="L34" s="133">
        <f t="shared" si="19"/>
        <v>38731569.82790491</v>
      </c>
      <c r="M34" s="133">
        <f t="shared" si="19"/>
        <v>36775692.555918485</v>
      </c>
      <c r="N34" s="133">
        <f t="shared" si="19"/>
        <v>35164943.746553071</v>
      </c>
      <c r="O34" s="133">
        <f t="shared" si="19"/>
        <v>33345025.368923564</v>
      </c>
      <c r="P34" s="133"/>
      <c r="Q34" s="112"/>
    </row>
    <row r="35" spans="1:17" ht="12.75" customHeight="1" thickBot="1" x14ac:dyDescent="0.3">
      <c r="C35" s="120"/>
      <c r="D35" s="120"/>
      <c r="E35" s="120"/>
      <c r="F35" s="120"/>
      <c r="G35" s="120"/>
      <c r="J35" s="120"/>
      <c r="K35" s="120"/>
      <c r="L35" s="120"/>
      <c r="M35" s="120"/>
      <c r="N35" s="120"/>
      <c r="O35" s="120"/>
      <c r="P35" s="120"/>
      <c r="Q35" s="112"/>
    </row>
    <row r="36" spans="1:17" ht="15.75" customHeight="1" thickBot="1" x14ac:dyDescent="0.3">
      <c r="A36" s="122"/>
      <c r="C36" s="122"/>
      <c r="D36" s="122"/>
      <c r="E36" s="132"/>
      <c r="F36" s="120"/>
      <c r="G36" s="120"/>
      <c r="H36" s="120"/>
      <c r="I36" s="132"/>
      <c r="J36" s="120"/>
      <c r="K36" s="120"/>
      <c r="L36" s="132"/>
      <c r="M36" s="120"/>
      <c r="N36" s="120"/>
      <c r="O36" s="131" t="s">
        <v>70</v>
      </c>
      <c r="P36" s="130">
        <f>SUM(P32,P21,P10)</f>
        <v>118521667.11408338</v>
      </c>
      <c r="Q36" s="129"/>
    </row>
    <row r="37" spans="1:17" ht="15.75" customHeight="1" x14ac:dyDescent="0.25">
      <c r="A37" s="122"/>
      <c r="B37" s="120"/>
      <c r="C37" s="122"/>
      <c r="D37" s="122"/>
      <c r="E37" s="121"/>
      <c r="F37" s="121"/>
      <c r="G37" s="121"/>
      <c r="H37" s="121"/>
      <c r="I37" s="121"/>
      <c r="J37" s="121"/>
      <c r="K37" s="120"/>
      <c r="L37" s="120"/>
      <c r="M37" s="120"/>
      <c r="N37" s="120"/>
      <c r="O37" s="120"/>
      <c r="P37" s="120"/>
      <c r="Q37" s="119"/>
    </row>
    <row r="38" spans="1:17" ht="14.65" customHeight="1" x14ac:dyDescent="0.25">
      <c r="B38" s="128" t="s">
        <v>69</v>
      </c>
      <c r="C38" s="127">
        <v>43466</v>
      </c>
      <c r="D38" s="127">
        <v>43497</v>
      </c>
      <c r="E38" s="127">
        <v>43525</v>
      </c>
      <c r="F38" s="127">
        <v>43556</v>
      </c>
      <c r="G38" s="127">
        <v>43586</v>
      </c>
      <c r="H38" s="127">
        <v>43586</v>
      </c>
      <c r="I38" s="127">
        <v>43617</v>
      </c>
      <c r="J38" s="127">
        <v>43647</v>
      </c>
      <c r="K38" s="127">
        <v>43678</v>
      </c>
      <c r="L38" s="127">
        <v>43709</v>
      </c>
      <c r="M38" s="127">
        <v>43739</v>
      </c>
      <c r="N38" s="127">
        <v>43770</v>
      </c>
      <c r="O38" s="127">
        <v>43800</v>
      </c>
      <c r="P38" s="120"/>
      <c r="Q38" s="112"/>
    </row>
    <row r="39" spans="1:17" ht="14.65" customHeight="1" x14ac:dyDescent="0.25">
      <c r="B39" s="126" t="s">
        <v>68</v>
      </c>
      <c r="C39" s="123">
        <v>5116.93</v>
      </c>
      <c r="D39" s="123">
        <v>5138.93</v>
      </c>
      <c r="E39" s="123">
        <v>5177.47</v>
      </c>
      <c r="F39" s="123">
        <v>5206.9799999999996</v>
      </c>
      <c r="G39" s="123">
        <v>5213.75</v>
      </c>
      <c r="H39" s="123">
        <v>5213.75</v>
      </c>
      <c r="I39" s="123">
        <v>5214.2700000000004</v>
      </c>
      <c r="J39" s="123">
        <v>5224.18</v>
      </c>
      <c r="K39" s="123">
        <v>5229.93</v>
      </c>
      <c r="L39" s="123">
        <v>5227.84</v>
      </c>
      <c r="M39" s="123">
        <v>5233.07</v>
      </c>
      <c r="N39" s="123">
        <v>5259.76</v>
      </c>
      <c r="O39" s="123">
        <v>5320.25</v>
      </c>
      <c r="P39" s="120"/>
      <c r="Q39" s="112"/>
    </row>
    <row r="40" spans="1:17" ht="14.65" customHeight="1" x14ac:dyDescent="0.25">
      <c r="B40" s="126" t="s">
        <v>67</v>
      </c>
      <c r="C40" s="125">
        <f t="shared" ref="C40:O40" si="20">($C$41/C39)-1</f>
        <v>3.9734762836310056E-2</v>
      </c>
      <c r="D40" s="125">
        <f t="shared" si="20"/>
        <v>3.5283609623014911E-2</v>
      </c>
      <c r="E40" s="125">
        <f t="shared" si="20"/>
        <v>2.75771757248231E-2</v>
      </c>
      <c r="F40" s="125">
        <f t="shared" si="20"/>
        <v>2.1753492427472487E-2</v>
      </c>
      <c r="G40" s="125">
        <f t="shared" si="20"/>
        <v>2.0426756173579586E-2</v>
      </c>
      <c r="H40" s="125">
        <f t="shared" si="20"/>
        <v>2.0426756173579586E-2</v>
      </c>
      <c r="I40" s="125">
        <f t="shared" si="20"/>
        <v>2.0324992760252014E-2</v>
      </c>
      <c r="J40" s="125">
        <f t="shared" si="20"/>
        <v>1.8389488876723092E-2</v>
      </c>
      <c r="K40" s="125">
        <f t="shared" si="20"/>
        <v>1.7269829615310206E-2</v>
      </c>
      <c r="L40" s="125">
        <f t="shared" si="20"/>
        <v>1.7676516496296646E-2</v>
      </c>
      <c r="M40" s="125">
        <f t="shared" si="20"/>
        <v>1.6659437003518018E-2</v>
      </c>
      <c r="N40" s="125">
        <f t="shared" si="20"/>
        <v>1.1500524738771389E-2</v>
      </c>
      <c r="O40" s="125">
        <f t="shared" si="20"/>
        <v>0</v>
      </c>
      <c r="P40" s="120"/>
      <c r="Q40" s="112"/>
    </row>
    <row r="41" spans="1:17" ht="15.75" customHeight="1" x14ac:dyDescent="0.25">
      <c r="A41" s="122"/>
      <c r="B41" s="124">
        <v>43800</v>
      </c>
      <c r="C41" s="123">
        <f>O39</f>
        <v>5320.25</v>
      </c>
      <c r="D41" s="122"/>
      <c r="E41" s="121"/>
      <c r="F41" s="121"/>
      <c r="G41" s="121"/>
      <c r="H41" s="121"/>
      <c r="I41" s="121"/>
      <c r="J41" s="121"/>
      <c r="K41" s="120"/>
      <c r="L41" s="120"/>
      <c r="M41" s="120"/>
      <c r="N41" s="120"/>
      <c r="O41" s="120"/>
      <c r="P41" s="120"/>
      <c r="Q41" s="119"/>
    </row>
    <row r="42" spans="1:17" ht="15.75" customHeight="1" x14ac:dyDescent="0.25">
      <c r="A42" s="122"/>
      <c r="B42" s="120"/>
      <c r="C42" s="122"/>
      <c r="D42" s="122"/>
      <c r="E42" s="121"/>
      <c r="F42" s="121"/>
      <c r="G42" s="121"/>
      <c r="H42" s="121"/>
      <c r="I42" s="121"/>
      <c r="J42" s="121"/>
      <c r="K42" s="120"/>
      <c r="L42" s="120"/>
      <c r="M42" s="120"/>
      <c r="N42" s="120"/>
      <c r="O42" s="120"/>
      <c r="P42" s="120"/>
      <c r="Q42" s="119"/>
    </row>
    <row r="43" spans="1:17" ht="12.75" customHeight="1" x14ac:dyDescent="0.25">
      <c r="B43" s="118" t="s">
        <v>66</v>
      </c>
      <c r="C43" s="117">
        <f>P10</f>
        <v>47035106.313436948</v>
      </c>
    </row>
    <row r="44" spans="1:17" ht="12.75" customHeight="1" x14ac:dyDescent="0.25">
      <c r="B44" s="118" t="s">
        <v>65</v>
      </c>
      <c r="C44" s="117">
        <f>P21</f>
        <v>36070933.503835917</v>
      </c>
    </row>
    <row r="45" spans="1:17" ht="12.75" customHeight="1" x14ac:dyDescent="0.25">
      <c r="B45" s="118" t="s">
        <v>64</v>
      </c>
      <c r="C45" s="117">
        <f>P32</f>
        <v>35415627.296810523</v>
      </c>
    </row>
    <row r="52" spans="4:14" ht="12.75" customHeight="1" x14ac:dyDescent="0.25">
      <c r="M52" s="116"/>
      <c r="N52" s="115"/>
    </row>
    <row r="53" spans="4:14" ht="12.75" customHeight="1" x14ac:dyDescent="0.25">
      <c r="F53" s="114"/>
    </row>
    <row r="58" spans="4:14" ht="12.75" hidden="1" customHeight="1" x14ac:dyDescent="0.25">
      <c r="D58" s="112">
        <f>41827169+34445903</f>
        <v>76273072</v>
      </c>
    </row>
    <row r="59" spans="4:14" ht="12.75" hidden="1" customHeight="1" x14ac:dyDescent="0.25">
      <c r="D59" s="114">
        <f>(D58*17)/31</f>
        <v>41827168.516129032</v>
      </c>
    </row>
    <row r="60" spans="4:14" ht="12.75" hidden="1" customHeight="1" x14ac:dyDescent="0.25">
      <c r="D60" s="114">
        <f>(D58*14)/31</f>
        <v>34445903.483870968</v>
      </c>
    </row>
  </sheetData>
  <sheetProtection selectLockedCells="1" selectUnlockedCells="1"/>
  <mergeCells count="1">
    <mergeCell ref="B2:P2"/>
  </mergeCells>
  <pageMargins left="0.51180555555555551" right="0.51180555555555551" top="0.78749999999999998" bottom="0.78749999999999998" header="0.51180555555555551" footer="0.51180555555555551"/>
  <pageSetup paperSize="8" firstPageNumber="0" orientation="landscape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IRT Resumo 2020</vt:lpstr>
      <vt:lpstr>IRT-Gráficos</vt:lpstr>
      <vt:lpstr>Cesta Índices IrB</vt:lpstr>
      <vt:lpstr>Conta Gráfica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Claudiomar da Silva</dc:creator>
  <cp:lastModifiedBy>Guilherme Arioli</cp:lastModifiedBy>
  <dcterms:created xsi:type="dcterms:W3CDTF">2021-04-07T17:09:19Z</dcterms:created>
  <dcterms:modified xsi:type="dcterms:W3CDTF">2021-04-20T12:46:43Z</dcterms:modified>
</cp:coreProperties>
</file>