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ex tab med fat" sheetId="1" r:id="rId1"/>
    <sheet name="ex tabela de med faturamento" sheetId="2" r:id="rId2"/>
    <sheet name="com desconto" sheetId="3" r:id="rId3"/>
  </sheets>
  <definedNames>
    <definedName name="_xlnm.Print_Area" localSheetId="0">'ex tab med fat'!$A$1:$I$142</definedName>
    <definedName name="_xlnm.Print_Area" localSheetId="1">'ex tabela de med faturamento'!$A$1:$I$145</definedName>
    <definedName name="_xlnm.Print_Titles" localSheetId="0">'ex tab med fat'!$1:$5</definedName>
    <definedName name="_xlnm.Print_Titles" localSheetId="1">'ex tabela de med faturamento'!$1:$5</definedName>
  </definedNames>
  <calcPr fullCalcOnLoad="1"/>
</workbook>
</file>

<file path=xl/sharedStrings.xml><?xml version="1.0" encoding="utf-8"?>
<sst xmlns="http://schemas.openxmlformats.org/spreadsheetml/2006/main" count="945" uniqueCount="357">
  <si>
    <t>TABELA DE MEDIÇÃO E FATURAMENTO</t>
  </si>
  <si>
    <t>Item</t>
  </si>
  <si>
    <t>Unidades Construtivas</t>
  </si>
  <si>
    <t>Fases Executivas</t>
  </si>
  <si>
    <t>% MEDIÇÃO da UC em relação ao preço global proposto</t>
  </si>
  <si>
    <t>Medição</t>
  </si>
  <si>
    <t xml:space="preserve">CANTEIRO DE OBRAS </t>
  </si>
  <si>
    <t>-------------------------------------------------&gt;</t>
  </si>
  <si>
    <t>--------------</t>
  </si>
  <si>
    <t>1.1</t>
  </si>
  <si>
    <t xml:space="preserve">Construção do Canteiro </t>
  </si>
  <si>
    <t>---------&gt;</t>
  </si>
  <si>
    <t>1.2</t>
  </si>
  <si>
    <t>Disponibilização e Manutenção de Container (2 ud - 2,30m x 6,00m) com banheiro e chuveiro</t>
  </si>
  <si>
    <t>1.3</t>
  </si>
  <si>
    <t>Administração do Local de obra</t>
  </si>
  <si>
    <t>TOTAL:</t>
  </si>
  <si>
    <t>----------------------</t>
  </si>
  <si>
    <t>2.1</t>
  </si>
  <si>
    <t>Serviços Preliminares</t>
  </si>
  <si>
    <t>2.2</t>
  </si>
  <si>
    <t>Obras de contenção: cortinas de estacas (1.426 metros e viga de solidarização)</t>
  </si>
  <si>
    <t>´+viga</t>
  </si>
  <si>
    <t>2.3</t>
  </si>
  <si>
    <t>Movimentação de terra e rebaixamento do lençol freático</t>
  </si>
  <si>
    <t>2.4</t>
  </si>
  <si>
    <t>Execução da estrutura do RAC - laje de fundo e arranque</t>
  </si>
  <si>
    <t>2.5</t>
  </si>
  <si>
    <t>Execução da estrutura do RAC - paredes e pilares</t>
  </si>
  <si>
    <t>2.6</t>
  </si>
  <si>
    <t>Execução da estrutura do RAC - laje superior</t>
  </si>
  <si>
    <t>2.7</t>
  </si>
  <si>
    <t>Execução da estrutura da Elevatória - poço de sucção e laje de fundo do sistema de entrada</t>
  </si>
  <si>
    <t>2.8</t>
  </si>
  <si>
    <t>Execução da estrutura da Elevatória - paredes e laje superior</t>
  </si>
  <si>
    <t>2.9</t>
  </si>
  <si>
    <t>Controle tecnológico de concreto - 151 ud</t>
  </si>
  <si>
    <t>2.10</t>
  </si>
  <si>
    <t>Impermeabilizações com sistema flexível - 236,88 m²</t>
  </si>
  <si>
    <t>2.11</t>
  </si>
  <si>
    <t>Materiais e equipamentos hidráulicos - fornecimento e instalação das motobombas (2 ud) e medidor de vazão (1ud)</t>
  </si>
  <si>
    <t>2.12</t>
  </si>
  <si>
    <t>Materiais e equipamentos hidráulicos: fornecimento e montagem das tubulações de processo</t>
  </si>
  <si>
    <t>2.13</t>
  </si>
  <si>
    <t>Materiais e equipamentos hidráulicos - guindaste, comportas, tampas, grades, guarda-corpo, escada</t>
  </si>
  <si>
    <t>2.14</t>
  </si>
  <si>
    <t>Assentamentos e montagens de tubulação de chegada, incluindo poços de visita</t>
  </si>
  <si>
    <t>2.15</t>
  </si>
  <si>
    <t>Embasamento complementar -  rachão 43,54 m3</t>
  </si>
  <si>
    <t>2.16</t>
  </si>
  <si>
    <t>Embasamento complementar - brita 22,13 m3</t>
  </si>
  <si>
    <t>2.17</t>
  </si>
  <si>
    <t>Execução de pavimentação da área, incluindo drenagem superficial e profunda e plantio de grama</t>
  </si>
  <si>
    <t>2.19</t>
  </si>
  <si>
    <t>Fechamento e vedação da área com execução de muro, e fornecimento e instalação de portão e  concertina</t>
  </si>
  <si>
    <t>2.20</t>
  </si>
  <si>
    <t>Pintura, Limpeza, testes operacionais e fornecimento de "as built"</t>
  </si>
  <si>
    <t>Total:</t>
  </si>
  <si>
    <t>3.1</t>
  </si>
  <si>
    <t>3.2</t>
  </si>
  <si>
    <t>3.3</t>
  </si>
  <si>
    <t>3.4</t>
  </si>
  <si>
    <t>3.5</t>
  </si>
  <si>
    <t>3.7</t>
  </si>
  <si>
    <t>Impermeabilização com sistema flexível - 183 m²</t>
  </si>
  <si>
    <t>3.8</t>
  </si>
  <si>
    <t>Assentamentos e montagens de tubulação, incluindo poços de visita</t>
  </si>
  <si>
    <t>3.9</t>
  </si>
  <si>
    <t>Urbanização e paisagismo</t>
  </si>
  <si>
    <t>3.10</t>
  </si>
  <si>
    <t>Limpeza, testes operacionais e fornecimento de "as built"</t>
  </si>
  <si>
    <t>4.1</t>
  </si>
  <si>
    <t>4.2</t>
  </si>
  <si>
    <t>Obras de contenção: cortinas de estacas (696 metros e viga de solidarização)</t>
  </si>
  <si>
    <t>4.3</t>
  </si>
  <si>
    <t>4.4</t>
  </si>
  <si>
    <t>4.5</t>
  </si>
  <si>
    <t>4.6</t>
  </si>
  <si>
    <t>4.7</t>
  </si>
  <si>
    <t xml:space="preserve">Controle tecnológico de concreto - 48 ud </t>
  </si>
  <si>
    <t>4.8</t>
  </si>
  <si>
    <t>Impermeabilização com sistema flexível - 74 m²</t>
  </si>
  <si>
    <t>4.10</t>
  </si>
  <si>
    <t>4.11</t>
  </si>
  <si>
    <t>Embasamento complementar - brita 28,43 m3</t>
  </si>
  <si>
    <t>4.12</t>
  </si>
  <si>
    <t>4.13</t>
  </si>
  <si>
    <t>5.1</t>
  </si>
  <si>
    <t>RAMAL DE ENTRADA AÉREO EM BAIXA TENSÃO - ENTRADA DE ENERGIA BT - 200A - 220/127V</t>
  </si>
  <si>
    <t>5.1.1</t>
  </si>
  <si>
    <t>Execução do ramal de entrada de 200 A, com fornecimento total dos materiais</t>
  </si>
  <si>
    <t>5.1.2</t>
  </si>
  <si>
    <t>Serviços de instalação (incluso pintura dos eletrodutos conforme padrão Sanepar)</t>
  </si>
  <si>
    <t>5.2</t>
  </si>
  <si>
    <t>CUBÍCULOS E QUADROS</t>
  </si>
  <si>
    <t>5.2.1</t>
  </si>
  <si>
    <t>Execução do quadro de comando QDLF-1, com fornecimento total dos materiais.</t>
  </si>
  <si>
    <t>5.2.2</t>
  </si>
  <si>
    <t>Execução do quadro de comando QMV-1, com fornecimento total dos materiais.</t>
  </si>
  <si>
    <t>5.2.3</t>
  </si>
  <si>
    <t>Execução do quadro de comando QS-1, com fornecimento total dos materiais.</t>
  </si>
  <si>
    <t>5.2.4</t>
  </si>
  <si>
    <t>Transporte dos quadros até o local da obra.</t>
  </si>
  <si>
    <t>5.3</t>
  </si>
  <si>
    <t>RAMAL ALIMENTADOR E FIXAÇÃO DO QUADRO - QDLF-1</t>
  </si>
  <si>
    <t>5.3.1</t>
  </si>
  <si>
    <t>Execução do ramal  alimentador  e fixação do QDLF-1, com o fornecimento total de materiais.</t>
  </si>
  <si>
    <t>5.3.2</t>
  </si>
  <si>
    <t>Serviços de instalação.</t>
  </si>
  <si>
    <t>5.4</t>
  </si>
  <si>
    <t>RAMAL ALIMENTADOR E FIXAÇÃO DO QUADRO - QS-0317E</t>
  </si>
  <si>
    <t>5.4.1</t>
  </si>
  <si>
    <t>Execução do ramal  alimentador  e fixação do QS-0317E, com o fornecimento total de materiais.</t>
  </si>
  <si>
    <t>5.4.2</t>
  </si>
  <si>
    <t>5.5</t>
  </si>
  <si>
    <t>RAMAL ALIMENTADOR E FIXAÇÃO DO QUADRO - QMV-1</t>
  </si>
  <si>
    <t>5.5.1</t>
  </si>
  <si>
    <t>Execução do ramal  alimentador  e fixação do QMV-1, com o fornecimento total de materiais.</t>
  </si>
  <si>
    <t>5.5.2</t>
  </si>
  <si>
    <t>5.6</t>
  </si>
  <si>
    <t>MALHA DE ATERRAMENTO</t>
  </si>
  <si>
    <t>5.6.1</t>
  </si>
  <si>
    <t>Execução da malha de aterramento,  com o fornecimento total dos materiais.</t>
  </si>
  <si>
    <t>5.6.2</t>
  </si>
  <si>
    <t>5.7</t>
  </si>
  <si>
    <t>5.7.1</t>
  </si>
  <si>
    <t>Execução do ramal  alimentador  das motobombas 2x30CV, com o fornecimento total dos materiais.</t>
  </si>
  <si>
    <t>5.7.2</t>
  </si>
  <si>
    <t>5.8</t>
  </si>
  <si>
    <t>AUTOMATISMO -  ELETRODOS E SENSOR  DE  NÍVEL - POÇO DE SUCÇÃO</t>
  </si>
  <si>
    <t>5.8.1</t>
  </si>
  <si>
    <t>Execução da alimentação dos eletrodos e sensor de nível no poço de sucção,  com o fornecimento total dos materiais.</t>
  </si>
  <si>
    <t>5.8.2</t>
  </si>
  <si>
    <t xml:space="preserve">Fornecimento do sensor de nível tipo Piezo-resistivo. </t>
  </si>
  <si>
    <t>5.8.3</t>
  </si>
  <si>
    <t>5.8.4</t>
  </si>
  <si>
    <t>Parametrização do Sensor de nível.</t>
  </si>
  <si>
    <t>5.9</t>
  </si>
  <si>
    <t>AUTOMATISMO -  ELETRODOS E SENSOR  DE  NÍVEL - POÇO DE ACÚMULO</t>
  </si>
  <si>
    <t>5.9.1</t>
  </si>
  <si>
    <t>Execução da alimentação do sensor de nível no poço de acúmulo,  com o fornecimento total dos materiais.</t>
  </si>
  <si>
    <t>5.9.2</t>
  </si>
  <si>
    <t>5.9.3</t>
  </si>
  <si>
    <t>5.9.4</t>
  </si>
  <si>
    <t>5.10</t>
  </si>
  <si>
    <t>AUTOMATISMO -  ALIMENTAÇÃO DO MEDIDOR DE VAZÃO ELETROMAGNÉTICO FE.1/FT.1</t>
  </si>
  <si>
    <t>5.10.1</t>
  </si>
  <si>
    <t>Execução da alimentação do medidor de vazão  e  comando entre o QMV-1 e QDLF-1,  com o fornecimento total dos materiais.</t>
  </si>
  <si>
    <t>5.10.2</t>
  </si>
  <si>
    <t>5.10.3</t>
  </si>
  <si>
    <t>Parametrização do medidor de vazão.</t>
  </si>
  <si>
    <t>5.11</t>
  </si>
  <si>
    <t>AUTOMATISMO - COMANDO ENTRE QDLF-1 e QUADRO DE AUTOMAÇÃO</t>
  </si>
  <si>
    <t>5.11.1</t>
  </si>
  <si>
    <t>Execução da alimentação do comando entre QDLF-1 e  Quadro de automação,  com o fornecimento total dos materiais.</t>
  </si>
  <si>
    <t>5.11.2</t>
  </si>
  <si>
    <t>Serviços de instalação</t>
  </si>
  <si>
    <t>5.12</t>
  </si>
  <si>
    <t xml:space="preserve">AUTOMATISMO - COMANDO ENTRE QDLF-1 e  QS-1 </t>
  </si>
  <si>
    <t>5.12.1</t>
  </si>
  <si>
    <t>Execução da alimentação do comando entre QDLF-1 e QS-1 e fixação,  com o fornecimento total dos materiais.</t>
  </si>
  <si>
    <t>5.12.2</t>
  </si>
  <si>
    <t>5.13</t>
  </si>
  <si>
    <t>AUTOMATISMO - READEQUAÇÃO DO QUADRO DE AUTOMAÇÃO  QA-0317E</t>
  </si>
  <si>
    <t>5.13.1</t>
  </si>
  <si>
    <t>Execução da readeguação do quadro de automação QA-0317E,  com o fornecimento total dos materiais.</t>
  </si>
  <si>
    <t>5.13.2</t>
  </si>
  <si>
    <t>5.14</t>
  </si>
  <si>
    <t xml:space="preserve">AUTOMATISMO - CABO DA ANTENA DO RÁDIO MODEM </t>
  </si>
  <si>
    <t>5.14.1</t>
  </si>
  <si>
    <t>Execução da alimentação do cabo da antena do rádio modem,  com o fornecimento total dos materiais.</t>
  </si>
  <si>
    <t>5.14.2</t>
  </si>
  <si>
    <t>5.15</t>
  </si>
  <si>
    <t>ILUMINAÇÃO INTERNA  DO ABRIGO DOS QUADROS</t>
  </si>
  <si>
    <t>5.15.1</t>
  </si>
  <si>
    <t>Execução da  iluminação interna do abrigo dos quadros, com fornecimento total dos materiais.</t>
  </si>
  <si>
    <t>5.15.2</t>
  </si>
  <si>
    <t>5.16</t>
  </si>
  <si>
    <t>ILUMINAÇÃO EXTERNA</t>
  </si>
  <si>
    <t>5.16.1</t>
  </si>
  <si>
    <t>Execução da  iluminação  externa, com fornecimento total dos materiais.</t>
  </si>
  <si>
    <t>5.16.2</t>
  </si>
  <si>
    <t>Serviços de instalação e revisão</t>
  </si>
  <si>
    <t>5.17</t>
  </si>
  <si>
    <t>AUTOMATISMO -  LINHA TELEFÔNICA</t>
  </si>
  <si>
    <t>5.17.1</t>
  </si>
  <si>
    <t>Execução do ramal alimentador da linha telefonica , com o fornecimento total dos materiais.</t>
  </si>
  <si>
    <t>5.17.2</t>
  </si>
  <si>
    <t>5.18</t>
  </si>
  <si>
    <t>SERVIÇOS DE PROGRAMAÇÃO</t>
  </si>
  <si>
    <t>5.18.1</t>
  </si>
  <si>
    <t xml:space="preserve"> Programação e serviços.</t>
  </si>
  <si>
    <t>5.19</t>
  </si>
  <si>
    <t>SERVIÇOS GERAIS</t>
  </si>
  <si>
    <t>5.19.1</t>
  </si>
  <si>
    <t>Execução dos serviços gerais</t>
  </si>
  <si>
    <t>5.19.2</t>
  </si>
  <si>
    <t>“As built” do projeto elétrico e quadros de comando.</t>
  </si>
  <si>
    <t>TOTAL GERAL</t>
  </si>
  <si>
    <t>Canteiro de Obras</t>
  </si>
  <si>
    <t>------------------&gt;</t>
  </si>
  <si>
    <t>1.8</t>
  </si>
  <si>
    <t>Desmobilização do canteiro</t>
  </si>
  <si>
    <t>Rede Coletora</t>
  </si>
  <si>
    <t>Tubo PVC coletor de esgoto JEI DN 150 - 18.000 m</t>
  </si>
  <si>
    <t>Tubo PVC Coletor de esgoto JEI DN 200  - 2.000 M</t>
  </si>
  <si>
    <t>Interceptor</t>
  </si>
  <si>
    <t>Tubo PVC coletor de esgoto JEI DN 150 - 500 m</t>
  </si>
  <si>
    <t>Tubo PVC coletor de esgoto JEI DN 200 - 1.000 m</t>
  </si>
  <si>
    <t>Estação Elevatória EEE</t>
  </si>
  <si>
    <t>Serviços técnicos e preliminares</t>
  </si>
  <si>
    <t>Movimento de terra e serviços auxiliares</t>
  </si>
  <si>
    <t>Fundações e estruturas</t>
  </si>
  <si>
    <t>Assentamentos</t>
  </si>
  <si>
    <t>Pavimentação</t>
  </si>
  <si>
    <t xml:space="preserve">Fechamentos, revestimentos e tratamento de superfícies </t>
  </si>
  <si>
    <t>Instalações prediais</t>
  </si>
  <si>
    <t>Instalações de produção</t>
  </si>
  <si>
    <t>4.9</t>
  </si>
  <si>
    <t>Serviços diversos</t>
  </si>
  <si>
    <t>Itens complementares</t>
  </si>
  <si>
    <t>Materiais e equipamentos hidráulicos</t>
  </si>
  <si>
    <t>Linha de Recalque</t>
  </si>
  <si>
    <t>Tubo PEAD PE-80 PN-4 DE 110 mm - 690 m</t>
  </si>
  <si>
    <t>ETE  - Sistema de Entrada</t>
  </si>
  <si>
    <t>6.1</t>
  </si>
  <si>
    <t>6.2</t>
  </si>
  <si>
    <t>6.3</t>
  </si>
  <si>
    <t>6.4</t>
  </si>
  <si>
    <t>6.5</t>
  </si>
  <si>
    <t>6.6</t>
  </si>
  <si>
    <t xml:space="preserve">Revestimentos e tratamento de superfícies </t>
  </si>
  <si>
    <t>6.7</t>
  </si>
  <si>
    <t>6.8</t>
  </si>
  <si>
    <t>6.9</t>
  </si>
  <si>
    <t>6.10</t>
  </si>
  <si>
    <t xml:space="preserve">ETE  - Ralf </t>
  </si>
  <si>
    <t>7.1</t>
  </si>
  <si>
    <t>7.2</t>
  </si>
  <si>
    <t>7.3</t>
  </si>
  <si>
    <t>Escoramento</t>
  </si>
  <si>
    <t>7.4</t>
  </si>
  <si>
    <t>7.5</t>
  </si>
  <si>
    <t>7.6</t>
  </si>
  <si>
    <t>7.7</t>
  </si>
  <si>
    <t>7.8</t>
  </si>
  <si>
    <t>7.9</t>
  </si>
  <si>
    <t>7.10</t>
  </si>
  <si>
    <t>7.11</t>
  </si>
  <si>
    <t>ETE  - Filtro Anaeróbio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</si>
  <si>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</si>
  <si>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</si>
  <si>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</si>
  <si>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</si>
  <si>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</si>
  <si>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</si>
  <si>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</si>
  <si>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</si>
  <si>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</si>
  <si>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</si>
  <si>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ETE  - Caixa de Areia</t>
  </si>
  <si>
    <t>9.1</t>
  </si>
  <si>
    <t>9.2</t>
  </si>
  <si>
    <t>9.3</t>
  </si>
  <si>
    <t>9.4</t>
  </si>
  <si>
    <t>9.5</t>
  </si>
  <si>
    <t>9.6</t>
  </si>
  <si>
    <t>9.7</t>
  </si>
  <si>
    <t>Urbanização</t>
  </si>
  <si>
    <t>9.8</t>
  </si>
  <si>
    <t>9.9</t>
  </si>
  <si>
    <t>9.10</t>
  </si>
  <si>
    <t>ETE - Elevatória de Lodo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</si>
  <si>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</si>
  <si>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</si>
  <si>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</si>
  <si>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</si>
  <si>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</si>
  <si>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</si>
  <si>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</si>
  <si>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</si>
  <si>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</si>
  <si>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</si>
  <si>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ETE  - Leito de Secagem</t>
  </si>
  <si>
    <t>11.1</t>
  </si>
  <si>
    <t>11.2</t>
  </si>
  <si>
    <t>11.4</t>
  </si>
  <si>
    <t>11.5</t>
  </si>
  <si>
    <t>11.6</t>
  </si>
  <si>
    <t>11.7</t>
  </si>
  <si>
    <t>11.8</t>
  </si>
  <si>
    <t>11.9</t>
  </si>
  <si>
    <t>11.10</t>
  </si>
  <si>
    <t>11.11</t>
  </si>
  <si>
    <t>ETE - Laboratório / Depósito</t>
  </si>
  <si>
    <t>12.1</t>
  </si>
  <si>
    <t>12.2</t>
  </si>
  <si>
    <t>Movimento de terra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</si>
  <si>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</si>
  <si>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</si>
  <si>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</si>
  <si>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</si>
  <si>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</si>
  <si>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</si>
  <si>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</si>
  <si>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</si>
  <si>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</si>
  <si>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Ligações Prediais</t>
  </si>
  <si>
    <t>PVC DN 100  -  1.000 ud.</t>
  </si>
  <si>
    <t>Itens Especiais - Urbanização</t>
  </si>
  <si>
    <t>14.1</t>
  </si>
  <si>
    <t>Serviços preliminares</t>
  </si>
  <si>
    <t>14.2</t>
  </si>
  <si>
    <t>14.3</t>
  </si>
  <si>
    <t>14.4</t>
  </si>
  <si>
    <t>Obras de contenção</t>
  </si>
  <si>
    <t>14.5</t>
  </si>
  <si>
    <t>14.6</t>
  </si>
  <si>
    <t>14.7</t>
  </si>
  <si>
    <t>14.8</t>
  </si>
  <si>
    <t>14.9</t>
  </si>
  <si>
    <t>14.10</t>
  </si>
  <si>
    <t>Ligações prediais</t>
  </si>
  <si>
    <t>14.11</t>
  </si>
  <si>
    <t>Itens Especiais - Travessias</t>
  </si>
  <si>
    <t>15.1</t>
  </si>
  <si>
    <t>Sob ferrovia em tubo PEAD PE-80 PN-6 DE 110 mm (condutor) com tubo camisa em aço DE 223 mm - 24m</t>
  </si>
  <si>
    <t>Serviço Socioambiental</t>
  </si>
  <si>
    <t>16.1</t>
  </si>
  <si>
    <t>Abordagem domiciliar p/ Sensib.. Ambiental</t>
  </si>
  <si>
    <t>16.2</t>
  </si>
  <si>
    <t>Abordagem domiciliar p/ Adesão Empreend.</t>
  </si>
  <si>
    <t>16.3</t>
  </si>
  <si>
    <t>Abordagem domiciliar para Vistoria T. Ambien</t>
  </si>
  <si>
    <t>16.4</t>
  </si>
  <si>
    <t>Reunião Comunitária</t>
  </si>
  <si>
    <t>16.5</t>
  </si>
  <si>
    <t>Reunião Grupo Gestor de Acompanhamento</t>
  </si>
  <si>
    <t>16.6</t>
  </si>
  <si>
    <t>Curso de Formação Agentes Socioambien.</t>
  </si>
  <si>
    <t>3.2%</t>
  </si>
  <si>
    <t>16.7</t>
  </si>
  <si>
    <t>Curso de Encanadores p/ Ligação Pred. Esg.</t>
  </si>
  <si>
    <t>Kit Didático de Intervenção Socioambiental</t>
  </si>
  <si>
    <t>ESTAÇÃO ELEVATÓRIA - EEE</t>
  </si>
  <si>
    <t>RESERVATÓRIO DE ACÚMULO I</t>
  </si>
  <si>
    <t>RESERVATÓRIO DE ACÚMULO II</t>
  </si>
  <si>
    <t>RESUMO DO ORÇAMENTO DA PROPOSTA VENCEDORA DO CERTAME (Valor Contratado ou Atualizado)</t>
  </si>
  <si>
    <t>Valor Contratado ou Atualizado (Pleito)</t>
  </si>
  <si>
    <t>ESTAÇÃO ELEVATÓRIA - EEE xxxx</t>
  </si>
  <si>
    <t>RESERVATÓRIO DE ACÚMULO zzzzzz</t>
  </si>
  <si>
    <t>RESERVATÓRIO DE ACÚMULO xxxxxxxx</t>
  </si>
  <si>
    <t>ALIMENTAÇÃO DAS MOTOBOMBAS  EE - dddddddd (2x30CV)</t>
  </si>
  <si>
    <r>
      <t>------------------------------------------------------</t>
    </r>
    <r>
      <rPr>
        <b/>
        <sz val="8"/>
        <color indexed="12"/>
        <rFont val="Symbol"/>
        <family val="1"/>
      </rPr>
      <t>®</t>
    </r>
  </si>
  <si>
    <r>
      <t>------------------------------------------------------</t>
    </r>
    <r>
      <rPr>
        <b/>
        <sz val="9"/>
        <color indexed="12"/>
        <rFont val="Symbol"/>
        <family val="1"/>
      </rPr>
      <t>®</t>
    </r>
  </si>
  <si>
    <t>INSTALAÇÕES ELÉTRICAS - bbbbbbbbb</t>
  </si>
  <si>
    <t>MODELO 1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</si>
</sst>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General_)"/>
    <numFmt numFmtId="179" formatCode="&quot;R$ &quot;#,##0.00"/>
    <numFmt numFmtId="180" formatCode="_(* #,##0.00_);_(* \(#,##0.00\);_(* \-??_);_(@_)"/>
    <numFmt numFmtId="181" formatCode="[$R$-416]\ #,##0.00;\-[$R$-416]\ #,##0.00"/>
    <numFmt numFmtId="182" formatCode="_(* #,##0.000_);_(* \(#,##0.000\);_(* \-??_);_(@_)"/>
    <numFmt numFmtId="183" formatCode="_(* #,##0.0000_);_(* \(#,##0.0000\);_(* \-??_);_(@_)"/>
    <numFmt numFmtId="184" formatCode="_(* #,##0.00000_);_(* \(#,##0.00000\);_(* \-??_);_(@_)"/>
    <numFmt numFmtId="185" formatCode="_(* #,##0.000000_);_(* \(#,##0.000000\);_(* \-??_);_(@_)"/>
    <numFmt numFmtId="186" formatCode="_(* #,##0.0000000_);_(* \(#,##0.0000000\);_(* \-??_);_(@_)"/>
    <numFmt numFmtId="187" formatCode="_(* #,##0.00000000_);_(* \(#,##0.00000000\);_(* \-??_);_(@_)"/>
    <numFmt numFmtId="188" formatCode="_(* #,##0.000000000_);_(* \(#,##0.000000000\);_(* \-??_);_(@_)"/>
    <numFmt numFmtId="189" formatCode="_(* #,##0.0000000000_);_(* \(#,##0.0000000000\);_(* \-??_);_(@_)"/>
    <numFmt numFmtId="190" formatCode="_(* #,##0.00000000000_);_(* \(#,##0.00000000000\);_(* \-??_);_(@_)"/>
    <numFmt numFmtId="191" formatCode="_(* #,##0.00000000000_);_(* \(#,##0.00000000000\);_(* &quot;-&quot;???????????_);_(@_)"/>
    <numFmt numFmtId="192" formatCode="_(&quot;R$&quot;* #,##0.00_);_(&quot;R$&quot;* \(#,##0.00\);_(&quot;R$&quot;* &quot;-&quot;??_);_(@_)"/>
    <numFmt numFmtId="193" formatCode="_(&quot;R$&quot;* #,##0_);_(&quot;R$&quot;* \(#,##0\);_(&quot;R$&quot;* &quot;-&quot;_);_(@_)"/>
    <numFmt numFmtId="194" formatCode="&quot;R$&quot;#,##0.00_);\(&quot;R$&quot;#,##0.00\)"/>
    <numFmt numFmtId="195" formatCode="&quot;R$&quot;\ #,##0.00"/>
    <numFmt numFmtId="196" formatCode="0.0000000000"/>
    <numFmt numFmtId="197" formatCode="0.0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%"/>
    <numFmt numFmtId="205" formatCode="0.000"/>
  </numFmts>
  <fonts count="72">
    <font>
      <sz val="10"/>
      <name val="Arial"/>
      <family val="2"/>
    </font>
    <font>
      <sz val="12"/>
      <name val="Courier New"/>
      <family val="3"/>
    </font>
    <font>
      <sz val="12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indexed="14"/>
      <name val="Arial"/>
      <family val="2"/>
    </font>
    <font>
      <sz val="10"/>
      <color indexed="14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0"/>
      <color indexed="57"/>
      <name val="Arial"/>
      <family val="2"/>
    </font>
    <font>
      <sz val="9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2"/>
      <name val="Symbol"/>
      <family val="1"/>
    </font>
    <font>
      <b/>
      <sz val="9"/>
      <color indexed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Times New Roman"/>
      <family val="1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8"/>
      <color rgb="FF0000FF"/>
      <name val="Times New Roman"/>
      <family val="1"/>
    </font>
    <font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53" fillId="30" borderId="0" applyNumberFormat="0" applyBorder="0" applyAlignment="0" applyProtection="0"/>
    <xf numFmtId="178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175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80" fontId="0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9" fontId="2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9" fontId="7" fillId="0" borderId="0" xfId="0" applyNumberFormat="1" applyFont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9" fontId="0" fillId="0" borderId="0" xfId="49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9" fillId="0" borderId="0" xfId="0" applyNumberFormat="1" applyFont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center"/>
    </xf>
    <xf numFmtId="179" fontId="3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10" fontId="5" fillId="0" borderId="10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justify" vertical="center"/>
    </xf>
    <xf numFmtId="179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9" fontId="14" fillId="0" borderId="10" xfId="47" applyNumberFormat="1" applyFont="1" applyBorder="1" applyAlignment="1">
      <alignment horizontal="left" vertical="center" wrapText="1"/>
      <protection/>
    </xf>
    <xf numFmtId="4" fontId="15" fillId="33" borderId="0" xfId="47" applyNumberFormat="1" applyFont="1" applyFill="1" applyBorder="1" applyAlignment="1">
      <alignment horizontal="right" vertical="top"/>
      <protection/>
    </xf>
    <xf numFmtId="179" fontId="13" fillId="0" borderId="0" xfId="0" applyNumberFormat="1" applyFont="1" applyBorder="1" applyAlignment="1">
      <alignment vertical="center"/>
    </xf>
    <xf numFmtId="181" fontId="2" fillId="33" borderId="0" xfId="61" applyNumberFormat="1" applyFont="1" applyFill="1" applyBorder="1" applyAlignment="1" applyProtection="1">
      <alignment/>
      <protection/>
    </xf>
    <xf numFmtId="179" fontId="3" fillId="0" borderId="0" xfId="0" applyNumberFormat="1" applyFont="1" applyBorder="1" applyAlignment="1">
      <alignment vertical="center"/>
    </xf>
    <xf numFmtId="49" fontId="14" fillId="33" borderId="10" xfId="47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49" fontId="10" fillId="0" borderId="11" xfId="47" applyNumberFormat="1" applyFont="1" applyBorder="1" applyAlignment="1">
      <alignment horizontal="left" vertical="center" wrapText="1"/>
      <protection/>
    </xf>
    <xf numFmtId="49" fontId="10" fillId="0" borderId="10" xfId="47" applyNumberFormat="1" applyFont="1" applyBorder="1" applyAlignment="1">
      <alignment horizontal="left" vertical="center" wrapText="1"/>
      <protection/>
    </xf>
    <xf numFmtId="4" fontId="2" fillId="33" borderId="0" xfId="47" applyNumberFormat="1" applyFont="1" applyFill="1" applyBorder="1" applyAlignment="1">
      <alignment horizontal="right"/>
      <protection/>
    </xf>
    <xf numFmtId="17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10" fontId="0" fillId="0" borderId="10" xfId="0" applyNumberForma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Alignment="1">
      <alignment horizontal="center" vertical="center"/>
    </xf>
    <xf numFmtId="179" fontId="17" fillId="0" borderId="0" xfId="0" applyNumberFormat="1" applyFont="1" applyAlignment="1">
      <alignment horizontal="center" vertical="center"/>
    </xf>
    <xf numFmtId="179" fontId="18" fillId="0" borderId="0" xfId="0" applyNumberFormat="1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79" fontId="18" fillId="34" borderId="0" xfId="0" applyNumberFormat="1" applyFont="1" applyFill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95" fontId="0" fillId="0" borderId="0" xfId="0" applyNumberFormat="1" applyFont="1" applyAlignment="1">
      <alignment vertical="center"/>
    </xf>
    <xf numFmtId="10" fontId="0" fillId="0" borderId="0" xfId="49" applyNumberFormat="1" applyAlignment="1">
      <alignment/>
    </xf>
    <xf numFmtId="4" fontId="0" fillId="0" borderId="0" xfId="0" applyNumberFormat="1" applyAlignment="1">
      <alignment/>
    </xf>
    <xf numFmtId="10" fontId="64" fillId="0" borderId="10" xfId="0" applyNumberFormat="1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10" fontId="63" fillId="0" borderId="10" xfId="0" applyNumberFormat="1" applyFont="1" applyBorder="1" applyAlignment="1">
      <alignment horizontal="center" vertical="center"/>
    </xf>
    <xf numFmtId="0" fontId="63" fillId="0" borderId="19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4" fillId="0" borderId="13" xfId="0" applyFont="1" applyBorder="1" applyAlignment="1">
      <alignment horizontal="right" vertical="center"/>
    </xf>
    <xf numFmtId="10" fontId="64" fillId="0" borderId="10" xfId="0" applyNumberFormat="1" applyFont="1" applyBorder="1" applyAlignment="1">
      <alignment horizontal="center" vertical="center"/>
    </xf>
    <xf numFmtId="0" fontId="63" fillId="0" borderId="21" xfId="0" applyFont="1" applyFill="1" applyBorder="1" applyAlignment="1">
      <alignment horizontal="justify" vertical="center"/>
    </xf>
    <xf numFmtId="0" fontId="63" fillId="0" borderId="22" xfId="0" applyFont="1" applyFill="1" applyBorder="1" applyAlignment="1">
      <alignment horizontal="justify" vertical="center"/>
    </xf>
    <xf numFmtId="0" fontId="63" fillId="0" borderId="11" xfId="0" applyFont="1" applyBorder="1" applyAlignment="1">
      <alignment horizontal="center" vertical="center"/>
    </xf>
    <xf numFmtId="10" fontId="63" fillId="0" borderId="11" xfId="0" applyNumberFormat="1" applyFont="1" applyBorder="1" applyAlignment="1">
      <alignment horizontal="center" vertical="center"/>
    </xf>
    <xf numFmtId="0" fontId="63" fillId="0" borderId="14" xfId="0" applyFont="1" applyFill="1" applyBorder="1" applyAlignment="1">
      <alignment horizontal="justify" vertical="center"/>
    </xf>
    <xf numFmtId="0" fontId="63" fillId="0" borderId="13" xfId="0" applyFont="1" applyFill="1" applyBorder="1" applyAlignment="1">
      <alignment horizontal="justify" vertical="center"/>
    </xf>
    <xf numFmtId="10" fontId="64" fillId="0" borderId="12" xfId="0" applyNumberFormat="1" applyFont="1" applyBorder="1" applyAlignment="1">
      <alignment horizontal="center" vertical="center"/>
    </xf>
    <xf numFmtId="9" fontId="64" fillId="0" borderId="12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vertical="center"/>
    </xf>
    <xf numFmtId="0" fontId="64" fillId="0" borderId="13" xfId="0" applyFont="1" applyFill="1" applyBorder="1" applyAlignment="1">
      <alignment horizontal="right" vertical="center"/>
    </xf>
    <xf numFmtId="0" fontId="64" fillId="0" borderId="21" xfId="0" applyFont="1" applyFill="1" applyBorder="1" applyAlignment="1">
      <alignment horizontal="justify" vertical="center"/>
    </xf>
    <xf numFmtId="0" fontId="64" fillId="0" borderId="22" xfId="0" applyFont="1" applyFill="1" applyBorder="1" applyAlignment="1">
      <alignment horizontal="justify" vertical="center"/>
    </xf>
    <xf numFmtId="9" fontId="64" fillId="0" borderId="10" xfId="0" applyNumberFormat="1" applyFont="1" applyFill="1" applyBorder="1" applyAlignment="1">
      <alignment horizontal="center" vertical="center"/>
    </xf>
    <xf numFmtId="10" fontId="64" fillId="0" borderId="10" xfId="49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>
      <alignment horizontal="center" vertical="center"/>
    </xf>
    <xf numFmtId="10" fontId="63" fillId="0" borderId="13" xfId="0" applyNumberFormat="1" applyFont="1" applyBorder="1" applyAlignment="1">
      <alignment horizontal="center" vertical="center"/>
    </xf>
    <xf numFmtId="10" fontId="64" fillId="0" borderId="11" xfId="0" applyNumberFormat="1" applyFont="1" applyBorder="1" applyAlignment="1">
      <alignment horizontal="center" vertical="center"/>
    </xf>
    <xf numFmtId="10" fontId="63" fillId="0" borderId="11" xfId="49" applyNumberFormat="1" applyFont="1" applyFill="1" applyBorder="1" applyAlignment="1" applyProtection="1">
      <alignment horizontal="center" vertical="center"/>
      <protection/>
    </xf>
    <xf numFmtId="10" fontId="63" fillId="0" borderId="10" xfId="49" applyNumberFormat="1" applyFont="1" applyFill="1" applyBorder="1" applyAlignment="1" applyProtection="1">
      <alignment horizontal="center" vertical="center"/>
      <protection/>
    </xf>
    <xf numFmtId="0" fontId="63" fillId="0" borderId="12" xfId="0" applyFont="1" applyFill="1" applyBorder="1" applyAlignment="1">
      <alignment horizontal="center" vertical="center"/>
    </xf>
    <xf numFmtId="10" fontId="64" fillId="0" borderId="12" xfId="0" applyNumberFormat="1" applyFont="1" applyFill="1" applyBorder="1" applyAlignment="1">
      <alignment horizontal="center" vertical="center"/>
    </xf>
    <xf numFmtId="10" fontId="64" fillId="0" borderId="23" xfId="49" applyNumberFormat="1" applyFont="1" applyFill="1" applyBorder="1" applyAlignment="1" applyProtection="1">
      <alignment horizontal="center" vertical="center"/>
      <protection/>
    </xf>
    <xf numFmtId="10" fontId="64" fillId="0" borderId="23" xfId="0" applyNumberFormat="1" applyFont="1" applyFill="1" applyBorder="1" applyAlignment="1">
      <alignment horizontal="center" vertical="center"/>
    </xf>
    <xf numFmtId="10" fontId="63" fillId="0" borderId="10" xfId="49" applyNumberFormat="1" applyFont="1" applyFill="1" applyBorder="1" applyAlignment="1" applyProtection="1">
      <alignment horizontal="center" vertical="center" wrapText="1"/>
      <protection/>
    </xf>
    <xf numFmtId="10" fontId="64" fillId="0" borderId="10" xfId="49" applyNumberFormat="1" applyFont="1" applyFill="1" applyBorder="1" applyAlignment="1" applyProtection="1">
      <alignment horizontal="center" vertical="center" wrapText="1"/>
      <protection/>
    </xf>
    <xf numFmtId="10" fontId="65" fillId="0" borderId="11" xfId="49" applyNumberFormat="1" applyFont="1" applyFill="1" applyBorder="1" applyAlignment="1" applyProtection="1">
      <alignment horizontal="center" vertical="center" wrapText="1"/>
      <protection/>
    </xf>
    <xf numFmtId="9" fontId="63" fillId="33" borderId="10" xfId="47" applyNumberFormat="1" applyFont="1" applyFill="1" applyBorder="1" applyAlignment="1">
      <alignment horizontal="center" vertical="center"/>
      <protection/>
    </xf>
    <xf numFmtId="10" fontId="65" fillId="0" borderId="10" xfId="49" applyNumberFormat="1" applyFont="1" applyFill="1" applyBorder="1" applyAlignment="1" applyProtection="1">
      <alignment horizontal="center" vertical="center" wrapText="1"/>
      <protection/>
    </xf>
    <xf numFmtId="9" fontId="63" fillId="0" borderId="10" xfId="49" applyNumberFormat="1" applyFont="1" applyFill="1" applyBorder="1" applyAlignment="1" applyProtection="1">
      <alignment horizontal="center" vertical="center" wrapText="1"/>
      <protection/>
    </xf>
    <xf numFmtId="10" fontId="66" fillId="0" borderId="10" xfId="49" applyNumberFormat="1" applyFont="1" applyFill="1" applyBorder="1" applyAlignment="1" applyProtection="1">
      <alignment horizontal="center" vertical="center" wrapText="1"/>
      <protection/>
    </xf>
    <xf numFmtId="10" fontId="63" fillId="0" borderId="10" xfId="61" applyNumberFormat="1" applyFont="1" applyFill="1" applyBorder="1" applyAlignment="1" applyProtection="1">
      <alignment horizontal="center" vertical="center" wrapText="1"/>
      <protection/>
    </xf>
    <xf numFmtId="178" fontId="67" fillId="0" borderId="14" xfId="47" applyFont="1" applyBorder="1" applyAlignment="1">
      <alignment horizontal="center" vertical="center" wrapText="1"/>
      <protection/>
    </xf>
    <xf numFmtId="178" fontId="67" fillId="0" borderId="13" xfId="47" applyFont="1" applyBorder="1" applyAlignment="1">
      <alignment horizontal="center" vertical="center" wrapText="1"/>
      <protection/>
    </xf>
    <xf numFmtId="49" fontId="65" fillId="0" borderId="14" xfId="47" applyNumberFormat="1" applyFont="1" applyBorder="1" applyAlignment="1" applyProtection="1">
      <alignment horizontal="left" vertical="center" wrapText="1"/>
      <protection/>
    </xf>
    <xf numFmtId="49" fontId="65" fillId="0" borderId="13" xfId="47" applyNumberFormat="1" applyFont="1" applyBorder="1" applyAlignment="1" applyProtection="1">
      <alignment horizontal="left" vertical="center" wrapText="1"/>
      <protection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left" vertical="center"/>
    </xf>
    <xf numFmtId="179" fontId="8" fillId="0" borderId="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top"/>
    </xf>
    <xf numFmtId="179" fontId="3" fillId="0" borderId="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right" vertical="center"/>
    </xf>
    <xf numFmtId="0" fontId="63" fillId="34" borderId="10" xfId="0" applyFont="1" applyFill="1" applyBorder="1" applyAlignment="1">
      <alignment horizontal="left" vertical="center" wrapText="1"/>
    </xf>
    <xf numFmtId="49" fontId="65" fillId="33" borderId="10" xfId="47" applyNumberFormat="1" applyFont="1" applyFill="1" applyBorder="1" applyAlignment="1">
      <alignment horizontal="left" vertical="center" wrapText="1"/>
      <protection/>
    </xf>
    <xf numFmtId="178" fontId="65" fillId="0" borderId="11" xfId="47" applyFont="1" applyBorder="1" applyAlignment="1">
      <alignment horizontal="center" vertical="center" wrapText="1"/>
      <protection/>
    </xf>
    <xf numFmtId="178" fontId="65" fillId="0" borderId="10" xfId="47" applyFont="1" applyBorder="1" applyAlignment="1">
      <alignment horizontal="left" vertical="center" wrapText="1"/>
      <protection/>
    </xf>
    <xf numFmtId="49" fontId="69" fillId="33" borderId="10" xfId="0" applyNumberFormat="1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center" vertical="center"/>
    </xf>
    <xf numFmtId="178" fontId="65" fillId="0" borderId="10" xfId="47" applyFont="1" applyBorder="1" applyAlignment="1">
      <alignment horizontal="center" vertical="center" wrapText="1"/>
      <protection/>
    </xf>
    <xf numFmtId="49" fontId="63" fillId="0" borderId="10" xfId="47" applyNumberFormat="1" applyFont="1" applyBorder="1" applyAlignment="1" applyProtection="1">
      <alignment horizontal="left" vertical="center" wrapText="1"/>
      <protection/>
    </xf>
    <xf numFmtId="178" fontId="70" fillId="0" borderId="10" xfId="47" applyFont="1" applyBorder="1" applyAlignment="1">
      <alignment horizontal="left" vertical="center" wrapText="1"/>
      <protection/>
    </xf>
    <xf numFmtId="49" fontId="69" fillId="33" borderId="10" xfId="47" applyNumberFormat="1" applyFont="1" applyFill="1" applyBorder="1" applyAlignment="1" applyProtection="1">
      <alignment horizontal="left" vertical="center"/>
      <protection/>
    </xf>
    <xf numFmtId="49" fontId="65" fillId="0" borderId="10" xfId="47" applyNumberFormat="1" applyFont="1" applyBorder="1" applyAlignment="1" applyProtection="1">
      <alignment horizontal="center" vertical="center" wrapText="1"/>
      <protection/>
    </xf>
    <xf numFmtId="0" fontId="69" fillId="0" borderId="10" xfId="0" applyNumberFormat="1" applyFont="1" applyBorder="1" applyAlignment="1">
      <alignment horizontal="left" vertical="top" wrapText="1"/>
    </xf>
    <xf numFmtId="49" fontId="65" fillId="0" borderId="10" xfId="47" applyNumberFormat="1" applyFont="1" applyBorder="1" applyAlignment="1" applyProtection="1">
      <alignment horizontal="left" vertical="center" wrapText="1"/>
      <protection/>
    </xf>
    <xf numFmtId="178" fontId="71" fillId="0" borderId="10" xfId="47" applyFont="1" applyBorder="1" applyAlignment="1">
      <alignment horizontal="left" vertical="center" wrapText="1"/>
      <protection/>
    </xf>
    <xf numFmtId="178" fontId="66" fillId="0" borderId="10" xfId="47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178" fontId="67" fillId="0" borderId="10" xfId="47" applyFont="1" applyBorder="1" applyAlignment="1">
      <alignment horizontal="left" vertical="center" wrapText="1"/>
      <protection/>
    </xf>
    <xf numFmtId="49" fontId="65" fillId="0" borderId="11" xfId="47" applyNumberFormat="1" applyFont="1" applyBorder="1" applyAlignment="1" applyProtection="1">
      <alignment horizontal="left" vertical="center" wrapText="1"/>
      <protection/>
    </xf>
    <xf numFmtId="0" fontId="69" fillId="33" borderId="10" xfId="0" applyFont="1" applyFill="1" applyBorder="1" applyAlignment="1">
      <alignment horizontal="left" vertical="top" wrapText="1"/>
    </xf>
    <xf numFmtId="178" fontId="69" fillId="33" borderId="10" xfId="47" applyFont="1" applyFill="1" applyBorder="1" applyAlignment="1">
      <alignment horizontal="center" vertical="top"/>
      <protection/>
    </xf>
    <xf numFmtId="178" fontId="67" fillId="0" borderId="10" xfId="47" applyFont="1" applyBorder="1" applyAlignment="1">
      <alignment horizontal="center" vertical="center" wrapText="1"/>
      <protection/>
    </xf>
    <xf numFmtId="0" fontId="69" fillId="33" borderId="10" xfId="0" applyFont="1" applyFill="1" applyBorder="1" applyAlignment="1">
      <alignment horizontal="left" vertical="top"/>
    </xf>
    <xf numFmtId="0" fontId="16" fillId="0" borderId="10" xfId="0" applyFont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64" fillId="0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justify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justify" vertical="center"/>
    </xf>
    <xf numFmtId="0" fontId="63" fillId="0" borderId="10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justify" vertical="center"/>
    </xf>
    <xf numFmtId="0" fontId="64" fillId="0" borderId="10" xfId="0" applyFont="1" applyFill="1" applyBorder="1" applyAlignment="1">
      <alignment horizontal="justify" vertical="center"/>
    </xf>
    <xf numFmtId="0" fontId="63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195" fontId="5" fillId="0" borderId="27" xfId="0" applyNumberFormat="1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15-QUADROS (2)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view="pageBreakPreview" zoomScale="90" zoomScaleSheetLayoutView="90" zoomScalePageLayoutView="0" workbookViewId="0" topLeftCell="A1">
      <selection activeCell="A1" sqref="A1:I1"/>
    </sheetView>
  </sheetViews>
  <sheetFormatPr defaultColWidth="9.140625" defaultRowHeight="15" customHeight="1"/>
  <cols>
    <col min="1" max="1" width="5.57421875" style="1" customWidth="1"/>
    <col min="2" max="2" width="9.140625" style="2" customWidth="1"/>
    <col min="3" max="3" width="32.28125" style="2" customWidth="1"/>
    <col min="4" max="5" width="9.140625" style="3" customWidth="1"/>
    <col min="6" max="6" width="17.140625" style="3" customWidth="1"/>
    <col min="7" max="7" width="29.28125" style="3" customWidth="1"/>
    <col min="8" max="8" width="11.57421875" style="2" customWidth="1"/>
    <col min="9" max="9" width="10.140625" style="3" customWidth="1"/>
    <col min="10" max="10" width="18.28125" style="4" customWidth="1"/>
    <col min="11" max="11" width="18.00390625" style="5" customWidth="1"/>
    <col min="12" max="12" width="14.7109375" style="6" customWidth="1"/>
    <col min="13" max="13" width="15.28125" style="2" customWidth="1"/>
    <col min="14" max="14" width="14.140625" style="2" customWidth="1"/>
    <col min="15" max="16" width="9.140625" style="2" customWidth="1"/>
    <col min="17" max="17" width="13.140625" style="2" customWidth="1"/>
    <col min="18" max="16384" width="9.140625" style="2" customWidth="1"/>
  </cols>
  <sheetData>
    <row r="1" spans="1:9" ht="1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spans="1:9" ht="15" customHeight="1">
      <c r="A2" s="131" t="s">
        <v>1</v>
      </c>
      <c r="B2" s="132" t="s">
        <v>2</v>
      </c>
      <c r="C2" s="132"/>
      <c r="D2" s="132" t="s">
        <v>3</v>
      </c>
      <c r="E2" s="132"/>
      <c r="F2" s="132"/>
      <c r="G2" s="132"/>
      <c r="H2" s="133" t="s">
        <v>4</v>
      </c>
      <c r="I2" s="132" t="s">
        <v>5</v>
      </c>
    </row>
    <row r="3" spans="1:9" ht="15" customHeight="1">
      <c r="A3" s="131"/>
      <c r="B3" s="132"/>
      <c r="C3" s="132"/>
      <c r="D3" s="132"/>
      <c r="E3" s="132"/>
      <c r="F3" s="132"/>
      <c r="G3" s="132"/>
      <c r="H3" s="133"/>
      <c r="I3" s="132"/>
    </row>
    <row r="4" spans="1:9" ht="15" customHeight="1">
      <c r="A4" s="131"/>
      <c r="B4" s="132"/>
      <c r="C4" s="132"/>
      <c r="D4" s="132"/>
      <c r="E4" s="132"/>
      <c r="F4" s="132"/>
      <c r="G4" s="132"/>
      <c r="H4" s="133"/>
      <c r="I4" s="132"/>
    </row>
    <row r="5" spans="1:13" ht="36.75" customHeight="1">
      <c r="A5" s="131"/>
      <c r="B5" s="132"/>
      <c r="C5" s="132"/>
      <c r="D5" s="132"/>
      <c r="E5" s="132"/>
      <c r="F5" s="132"/>
      <c r="G5" s="132"/>
      <c r="H5" s="133"/>
      <c r="I5" s="132"/>
      <c r="J5" s="7">
        <v>2556226.66</v>
      </c>
      <c r="M5" s="2">
        <f>SUM(J6,J11,J32,J43,J57)</f>
        <v>2556226.66</v>
      </c>
    </row>
    <row r="6" spans="1:11" ht="15" customHeight="1">
      <c r="A6" s="8">
        <v>1</v>
      </c>
      <c r="B6" s="126" t="s">
        <v>6</v>
      </c>
      <c r="C6" s="126"/>
      <c r="D6" s="127" t="s">
        <v>7</v>
      </c>
      <c r="E6" s="127"/>
      <c r="F6" s="127"/>
      <c r="G6" s="127"/>
      <c r="H6" s="104">
        <f>K7/J5</f>
        <v>0.08456370218750475</v>
      </c>
      <c r="I6" s="105" t="s">
        <v>8</v>
      </c>
      <c r="J6" s="9">
        <v>216163.99</v>
      </c>
      <c r="K6" s="10"/>
    </row>
    <row r="7" spans="1:12" ht="15" customHeight="1">
      <c r="A7" s="11" t="s">
        <v>9</v>
      </c>
      <c r="B7" s="128"/>
      <c r="C7" s="128"/>
      <c r="D7" s="129" t="s">
        <v>10</v>
      </c>
      <c r="E7" s="129"/>
      <c r="F7" s="129"/>
      <c r="G7" s="129"/>
      <c r="H7" s="75" t="s">
        <v>11</v>
      </c>
      <c r="I7" s="94">
        <f>J7/J6</f>
        <v>0.20404050646918573</v>
      </c>
      <c r="J7" s="4">
        <v>44106.21</v>
      </c>
      <c r="K7" s="137">
        <f>SUM(J7:J9)</f>
        <v>216163.99</v>
      </c>
      <c r="L7" s="12">
        <v>0.8</v>
      </c>
    </row>
    <row r="8" spans="1:12" ht="24" customHeight="1">
      <c r="A8" s="13" t="s">
        <v>12</v>
      </c>
      <c r="B8" s="134"/>
      <c r="C8" s="134"/>
      <c r="D8" s="129" t="s">
        <v>13</v>
      </c>
      <c r="E8" s="129"/>
      <c r="F8" s="129"/>
      <c r="G8" s="129"/>
      <c r="H8" s="75" t="s">
        <v>11</v>
      </c>
      <c r="I8" s="84">
        <f>J8/J6</f>
        <v>0.09825873402873439</v>
      </c>
      <c r="J8" s="4">
        <v>21240</v>
      </c>
      <c r="K8" s="137"/>
      <c r="L8" s="12">
        <v>0.2</v>
      </c>
    </row>
    <row r="9" spans="1:10" ht="15" customHeight="1">
      <c r="A9" s="15" t="s">
        <v>14</v>
      </c>
      <c r="B9" s="138"/>
      <c r="C9" s="138"/>
      <c r="D9" s="139" t="s">
        <v>15</v>
      </c>
      <c r="E9" s="139"/>
      <c r="F9" s="139"/>
      <c r="G9" s="139"/>
      <c r="H9" s="76" t="s">
        <v>11</v>
      </c>
      <c r="I9" s="106">
        <f>J9/J6</f>
        <v>0.6977007595020799</v>
      </c>
      <c r="J9" s="4">
        <v>150817.78</v>
      </c>
    </row>
    <row r="10" spans="1:9" ht="15" customHeight="1">
      <c r="A10" s="16"/>
      <c r="B10" s="134"/>
      <c r="C10" s="134"/>
      <c r="D10" s="135" t="s">
        <v>16</v>
      </c>
      <c r="E10" s="135"/>
      <c r="F10" s="135"/>
      <c r="G10" s="135"/>
      <c r="H10" s="93"/>
      <c r="I10" s="107">
        <f>SUM(I7:I9)</f>
        <v>1</v>
      </c>
    </row>
    <row r="11" spans="1:13" ht="15" customHeight="1">
      <c r="A11" s="17">
        <v>2</v>
      </c>
      <c r="B11" s="136" t="s">
        <v>349</v>
      </c>
      <c r="C11" s="136"/>
      <c r="D11" s="134" t="s">
        <v>7</v>
      </c>
      <c r="E11" s="134"/>
      <c r="F11" s="134"/>
      <c r="G11" s="134"/>
      <c r="H11" s="81">
        <f>J11/J5</f>
        <v>0.4663001284870411</v>
      </c>
      <c r="I11" s="77" t="s">
        <v>17</v>
      </c>
      <c r="J11" s="7">
        <v>1191968.82</v>
      </c>
      <c r="K11" s="5">
        <f>SUM(J12:J30)</f>
        <v>1191968.8199999998</v>
      </c>
      <c r="L11" s="6">
        <f>973160.01+218808.81</f>
        <v>1191968.82</v>
      </c>
      <c r="M11" s="19">
        <f>L11-K11</f>
        <v>0</v>
      </c>
    </row>
    <row r="12" spans="1:10" ht="14.25" customHeight="1">
      <c r="A12" s="11" t="s">
        <v>18</v>
      </c>
      <c r="B12" s="134"/>
      <c r="C12" s="134"/>
      <c r="D12" s="129" t="s">
        <v>19</v>
      </c>
      <c r="E12" s="129"/>
      <c r="F12" s="129"/>
      <c r="G12" s="129"/>
      <c r="H12" s="75" t="s">
        <v>11</v>
      </c>
      <c r="I12" s="108">
        <f>J12/J$11</f>
        <v>0.017046125417945077</v>
      </c>
      <c r="J12" s="20">
        <f>20318.45</f>
        <v>20318.45</v>
      </c>
    </row>
    <row r="13" spans="1:11" ht="26.25" customHeight="1">
      <c r="A13" s="11" t="s">
        <v>20</v>
      </c>
      <c r="B13" s="134"/>
      <c r="C13" s="134"/>
      <c r="D13" s="129" t="s">
        <v>21</v>
      </c>
      <c r="E13" s="129"/>
      <c r="F13" s="129"/>
      <c r="G13" s="129"/>
      <c r="H13" s="75" t="s">
        <v>11</v>
      </c>
      <c r="I13" s="109">
        <f>J13/J$11</f>
        <v>0.32584713079994826</v>
      </c>
      <c r="J13" s="4">
        <f>388399.62</f>
        <v>388399.62</v>
      </c>
      <c r="K13" s="5" t="s">
        <v>22</v>
      </c>
    </row>
    <row r="14" spans="1:10" ht="12.75" customHeight="1">
      <c r="A14" s="11" t="s">
        <v>23</v>
      </c>
      <c r="B14" s="134"/>
      <c r="C14" s="134"/>
      <c r="D14" s="129" t="s">
        <v>24</v>
      </c>
      <c r="E14" s="129"/>
      <c r="F14" s="129"/>
      <c r="G14" s="129"/>
      <c r="H14" s="75" t="s">
        <v>11</v>
      </c>
      <c r="I14" s="109">
        <f>J14/J$11</f>
        <v>0.027409383074298868</v>
      </c>
      <c r="J14" s="20">
        <f>16082.33+16588.8</f>
        <v>32671.129999999997</v>
      </c>
    </row>
    <row r="15" spans="1:12" ht="15" customHeight="1">
      <c r="A15" s="11" t="s">
        <v>25</v>
      </c>
      <c r="B15" s="134"/>
      <c r="C15" s="134"/>
      <c r="D15" s="140" t="s">
        <v>26</v>
      </c>
      <c r="E15" s="140"/>
      <c r="F15" s="140"/>
      <c r="G15" s="140"/>
      <c r="H15" s="75" t="s">
        <v>11</v>
      </c>
      <c r="I15" s="84">
        <f>J15/$J$11</f>
        <v>0.044980606120217134</v>
      </c>
      <c r="J15" s="21">
        <f>(290417.85)*0.2-4468.09</f>
        <v>53615.479999999996</v>
      </c>
      <c r="K15" s="22"/>
      <c r="L15" s="23"/>
    </row>
    <row r="16" spans="1:12" ht="12.75" customHeight="1">
      <c r="A16" s="11" t="s">
        <v>27</v>
      </c>
      <c r="B16" s="134"/>
      <c r="C16" s="134"/>
      <c r="D16" s="140" t="s">
        <v>28</v>
      </c>
      <c r="E16" s="140"/>
      <c r="F16" s="140"/>
      <c r="G16" s="140"/>
      <c r="H16" s="75" t="s">
        <v>11</v>
      </c>
      <c r="I16" s="109">
        <f aca="true" t="shared" si="0" ref="I16:I30">J16/J$11</f>
        <v>0.04872910182331783</v>
      </c>
      <c r="J16" s="21">
        <f>(290417.85)*0.2</f>
        <v>58083.57</v>
      </c>
      <c r="L16" s="24"/>
    </row>
    <row r="17" spans="1:12" ht="12.75" customHeight="1">
      <c r="A17" s="11" t="s">
        <v>29</v>
      </c>
      <c r="B17" s="134"/>
      <c r="C17" s="134"/>
      <c r="D17" s="140" t="s">
        <v>30</v>
      </c>
      <c r="E17" s="140"/>
      <c r="F17" s="140"/>
      <c r="G17" s="140"/>
      <c r="H17" s="75" t="s">
        <v>11</v>
      </c>
      <c r="I17" s="109">
        <f t="shared" si="0"/>
        <v>0.06631829513795502</v>
      </c>
      <c r="J17" s="21">
        <f>(290417.85)*0.2+20965.77</f>
        <v>79049.34</v>
      </c>
      <c r="L17" s="25"/>
    </row>
    <row r="18" spans="1:12" ht="22.5" customHeight="1">
      <c r="A18" s="11" t="s">
        <v>31</v>
      </c>
      <c r="B18" s="134"/>
      <c r="C18" s="134"/>
      <c r="D18" s="140" t="s">
        <v>32</v>
      </c>
      <c r="E18" s="140"/>
      <c r="F18" s="140"/>
      <c r="G18" s="140"/>
      <c r="H18" s="75" t="s">
        <v>11</v>
      </c>
      <c r="I18" s="109">
        <f t="shared" si="0"/>
        <v>0.04872910182331783</v>
      </c>
      <c r="J18" s="21">
        <f>(290417.85)*0.2</f>
        <v>58083.57</v>
      </c>
      <c r="L18" s="25"/>
    </row>
    <row r="19" spans="1:12" ht="12.75" customHeight="1">
      <c r="A19" s="11" t="s">
        <v>33</v>
      </c>
      <c r="B19" s="134"/>
      <c r="C19" s="134"/>
      <c r="D19" s="140" t="s">
        <v>34</v>
      </c>
      <c r="E19" s="140"/>
      <c r="F19" s="140"/>
      <c r="G19" s="140"/>
      <c r="H19" s="75" t="s">
        <v>11</v>
      </c>
      <c r="I19" s="109">
        <f t="shared" si="0"/>
        <v>0.04872910182331783</v>
      </c>
      <c r="J19" s="21">
        <f>(290417.85)*0.2</f>
        <v>58083.57</v>
      </c>
      <c r="L19" s="25"/>
    </row>
    <row r="20" spans="1:12" ht="12.75" customHeight="1">
      <c r="A20" s="11" t="s">
        <v>35</v>
      </c>
      <c r="B20" s="134"/>
      <c r="C20" s="134"/>
      <c r="D20" s="140" t="s">
        <v>36</v>
      </c>
      <c r="E20" s="140"/>
      <c r="F20" s="140"/>
      <c r="G20" s="140"/>
      <c r="H20" s="75" t="s">
        <v>11</v>
      </c>
      <c r="I20" s="109">
        <f t="shared" si="0"/>
        <v>0.00374849570310069</v>
      </c>
      <c r="J20" s="20">
        <v>4468.09</v>
      </c>
      <c r="L20" s="25"/>
    </row>
    <row r="21" spans="1:12" ht="12.75" customHeight="1">
      <c r="A21" s="11" t="s">
        <v>37</v>
      </c>
      <c r="B21" s="134"/>
      <c r="C21" s="134"/>
      <c r="D21" s="129" t="s">
        <v>38</v>
      </c>
      <c r="E21" s="129"/>
      <c r="F21" s="129"/>
      <c r="G21" s="129"/>
      <c r="H21" s="75" t="s">
        <v>11</v>
      </c>
      <c r="I21" s="109">
        <f t="shared" si="0"/>
        <v>0.042061209285659</v>
      </c>
      <c r="J21" s="20">
        <v>50135.65</v>
      </c>
      <c r="L21" s="25"/>
    </row>
    <row r="22" spans="1:12" ht="24.75" customHeight="1">
      <c r="A22" s="11" t="s">
        <v>39</v>
      </c>
      <c r="B22" s="134"/>
      <c r="C22" s="134"/>
      <c r="D22" s="129" t="s">
        <v>40</v>
      </c>
      <c r="E22" s="129"/>
      <c r="F22" s="129"/>
      <c r="G22" s="129"/>
      <c r="H22" s="75" t="s">
        <v>11</v>
      </c>
      <c r="I22" s="109">
        <f t="shared" si="0"/>
        <v>0.09871961248113854</v>
      </c>
      <c r="J22" s="20">
        <f>103517.98+12846.24+1306.48</f>
        <v>117670.7</v>
      </c>
      <c r="L22" s="25"/>
    </row>
    <row r="23" spans="1:12" ht="22.5" customHeight="1">
      <c r="A23" s="11" t="s">
        <v>41</v>
      </c>
      <c r="B23" s="134"/>
      <c r="C23" s="134"/>
      <c r="D23" s="129" t="s">
        <v>42</v>
      </c>
      <c r="E23" s="129"/>
      <c r="F23" s="129"/>
      <c r="G23" s="129"/>
      <c r="H23" s="75" t="s">
        <v>11</v>
      </c>
      <c r="I23" s="109">
        <f t="shared" si="0"/>
        <v>0.06828890876524775</v>
      </c>
      <c r="J23" s="20">
        <f>10013.77-1416.62-1306.48+147.1+268.7+251.4+2561.3+218808.81-10856-12846.24-103517.98-2290.76-18418.75</f>
        <v>81398.25000000003</v>
      </c>
      <c r="L23" s="25"/>
    </row>
    <row r="24" spans="1:13" ht="24.75" customHeight="1">
      <c r="A24" s="11" t="s">
        <v>43</v>
      </c>
      <c r="B24" s="134"/>
      <c r="C24" s="134"/>
      <c r="D24" s="140" t="s">
        <v>44</v>
      </c>
      <c r="E24" s="140"/>
      <c r="F24" s="140"/>
      <c r="G24" s="140"/>
      <c r="H24" s="75" t="s">
        <v>11</v>
      </c>
      <c r="I24" s="109">
        <f t="shared" si="0"/>
        <v>0.0534213050975612</v>
      </c>
      <c r="J24" s="20">
        <f>1416.62+32985.16+18418.75+10856</f>
        <v>63676.530000000006</v>
      </c>
      <c r="L24" s="25"/>
      <c r="M24" s="19"/>
    </row>
    <row r="25" spans="1:12" ht="22.5" customHeight="1">
      <c r="A25" s="11" t="s">
        <v>45</v>
      </c>
      <c r="B25" s="134"/>
      <c r="C25" s="134"/>
      <c r="D25" s="129" t="s">
        <v>46</v>
      </c>
      <c r="E25" s="129"/>
      <c r="F25" s="129"/>
      <c r="G25" s="129"/>
      <c r="H25" s="75" t="s">
        <v>11</v>
      </c>
      <c r="I25" s="109">
        <f t="shared" si="0"/>
        <v>0.0037874732327310367</v>
      </c>
      <c r="J25" s="20">
        <f>8808.75-2300.19-4284.77+2290.76</f>
        <v>4514.549999999999</v>
      </c>
      <c r="L25" s="25"/>
    </row>
    <row r="26" spans="1:12" ht="12.75" customHeight="1">
      <c r="A26" s="11" t="s">
        <v>47</v>
      </c>
      <c r="B26" s="134"/>
      <c r="C26" s="134"/>
      <c r="D26" s="129" t="s">
        <v>48</v>
      </c>
      <c r="E26" s="129"/>
      <c r="F26" s="129"/>
      <c r="G26" s="129"/>
      <c r="H26" s="75" t="s">
        <v>11</v>
      </c>
      <c r="I26" s="109">
        <f t="shared" si="0"/>
        <v>0.0035946997338403533</v>
      </c>
      <c r="J26" s="20">
        <v>4284.77</v>
      </c>
      <c r="L26" s="25"/>
    </row>
    <row r="27" spans="1:13" ht="12.75" customHeight="1">
      <c r="A27" s="11" t="s">
        <v>49</v>
      </c>
      <c r="B27" s="134"/>
      <c r="C27" s="134"/>
      <c r="D27" s="129" t="s">
        <v>50</v>
      </c>
      <c r="E27" s="129"/>
      <c r="F27" s="129"/>
      <c r="G27" s="129"/>
      <c r="H27" s="75" t="s">
        <v>11</v>
      </c>
      <c r="I27" s="109">
        <f t="shared" si="0"/>
        <v>0.0019297400749123622</v>
      </c>
      <c r="J27" s="20">
        <v>2300.19</v>
      </c>
      <c r="L27" s="25"/>
      <c r="M27" s="19"/>
    </row>
    <row r="28" spans="1:12" ht="12.75" customHeight="1">
      <c r="A28" s="11" t="s">
        <v>51</v>
      </c>
      <c r="B28" s="134"/>
      <c r="C28" s="134"/>
      <c r="D28" s="129" t="s">
        <v>52</v>
      </c>
      <c r="E28" s="129"/>
      <c r="F28" s="129"/>
      <c r="G28" s="129"/>
      <c r="H28" s="75" t="s">
        <v>11</v>
      </c>
      <c r="I28" s="109">
        <f t="shared" si="0"/>
        <v>0.018929052187791288</v>
      </c>
      <c r="J28" s="20">
        <v>22562.84</v>
      </c>
      <c r="L28" s="25"/>
    </row>
    <row r="29" spans="1:12" ht="23.25" customHeight="1">
      <c r="A29" s="11" t="s">
        <v>53</v>
      </c>
      <c r="B29" s="134"/>
      <c r="C29" s="134"/>
      <c r="D29" s="129" t="s">
        <v>54</v>
      </c>
      <c r="E29" s="129"/>
      <c r="F29" s="129"/>
      <c r="G29" s="129"/>
      <c r="H29" s="75" t="s">
        <v>11</v>
      </c>
      <c r="I29" s="109">
        <f t="shared" si="0"/>
        <v>0.07034216717178894</v>
      </c>
      <c r="J29" s="20">
        <f>48024.9+10773+538.95+24508.82</f>
        <v>83845.67</v>
      </c>
      <c r="L29" s="25"/>
    </row>
    <row r="30" spans="1:12" ht="12.75" customHeight="1">
      <c r="A30" s="11" t="s">
        <v>55</v>
      </c>
      <c r="B30" s="134"/>
      <c r="C30" s="134"/>
      <c r="D30" s="129" t="s">
        <v>56</v>
      </c>
      <c r="E30" s="129"/>
      <c r="F30" s="129"/>
      <c r="G30" s="129"/>
      <c r="H30" s="75" t="s">
        <v>11</v>
      </c>
      <c r="I30" s="109">
        <f t="shared" si="0"/>
        <v>0.007388490245910961</v>
      </c>
      <c r="J30" s="20">
        <f>4922.78+2262.35+1621.72</f>
        <v>8806.849999999999</v>
      </c>
      <c r="L30" s="25"/>
    </row>
    <row r="31" spans="1:12" s="29" customFormat="1" ht="15" customHeight="1">
      <c r="A31" s="26"/>
      <c r="B31" s="134"/>
      <c r="C31" s="134"/>
      <c r="D31" s="135" t="s">
        <v>57</v>
      </c>
      <c r="E31" s="135"/>
      <c r="F31" s="135"/>
      <c r="G31" s="135"/>
      <c r="H31" s="110"/>
      <c r="I31" s="111">
        <f>SUM(I12:I30)</f>
        <v>0.9999999999999998</v>
      </c>
      <c r="J31" s="21"/>
      <c r="K31" s="27"/>
      <c r="L31" s="28"/>
    </row>
    <row r="32" spans="1:10" ht="25.5" customHeight="1">
      <c r="A32" s="17">
        <v>3</v>
      </c>
      <c r="B32" s="136" t="s">
        <v>350</v>
      </c>
      <c r="C32" s="136"/>
      <c r="D32" s="134" t="s">
        <v>7</v>
      </c>
      <c r="E32" s="134"/>
      <c r="F32" s="134"/>
      <c r="G32" s="134"/>
      <c r="H32" s="81">
        <f>J32/J5</f>
        <v>0.18307715325995386</v>
      </c>
      <c r="I32" s="77" t="s">
        <v>17</v>
      </c>
      <c r="J32" s="7">
        <v>467986.7</v>
      </c>
    </row>
    <row r="33" spans="1:10" ht="15" customHeight="1">
      <c r="A33" s="11" t="s">
        <v>58</v>
      </c>
      <c r="B33" s="134"/>
      <c r="C33" s="134"/>
      <c r="D33" s="129" t="s">
        <v>19</v>
      </c>
      <c r="E33" s="129"/>
      <c r="F33" s="129"/>
      <c r="G33" s="129"/>
      <c r="H33" s="75" t="s">
        <v>11</v>
      </c>
      <c r="I33" s="109">
        <f aca="true" t="shared" si="1" ref="I33:I41">J33/J$32</f>
        <v>0.04058096095465961</v>
      </c>
      <c r="J33" s="4">
        <f>2799.14+16192.21</f>
        <v>18991.35</v>
      </c>
    </row>
    <row r="34" spans="1:15" ht="13.5" customHeight="1">
      <c r="A34" s="11" t="s">
        <v>59</v>
      </c>
      <c r="B34" s="134"/>
      <c r="C34" s="134"/>
      <c r="D34" s="129" t="s">
        <v>24</v>
      </c>
      <c r="E34" s="129"/>
      <c r="F34" s="129"/>
      <c r="G34" s="129"/>
      <c r="H34" s="75" t="s">
        <v>11</v>
      </c>
      <c r="I34" s="109">
        <f t="shared" si="1"/>
        <v>0.2892782209408942</v>
      </c>
      <c r="J34" s="4">
        <f>54986.76+833.4+8036+11667.32+10619.31+49593.6+1214.68+473.05-2045.76</f>
        <v>135378.36</v>
      </c>
      <c r="K34" s="5">
        <v>54032.24</v>
      </c>
      <c r="L34" s="6">
        <v>1559.6</v>
      </c>
      <c r="M34" s="2">
        <v>8092</v>
      </c>
      <c r="N34" s="2">
        <v>16435.14</v>
      </c>
      <c r="O34" s="2">
        <v>53486.11</v>
      </c>
    </row>
    <row r="35" spans="1:11" ht="15" customHeight="1">
      <c r="A35" s="11" t="s">
        <v>60</v>
      </c>
      <c r="B35" s="134"/>
      <c r="C35" s="134"/>
      <c r="D35" s="129" t="s">
        <v>26</v>
      </c>
      <c r="E35" s="129"/>
      <c r="F35" s="129"/>
      <c r="G35" s="129"/>
      <c r="H35" s="75" t="s">
        <v>11</v>
      </c>
      <c r="I35" s="109">
        <f t="shared" si="1"/>
        <v>0.15763697290970022</v>
      </c>
      <c r="J35" s="4">
        <f>K35*0.325</f>
        <v>73772.00675</v>
      </c>
      <c r="K35" s="141">
        <f>235949.32+L36-34623.6+M36</f>
        <v>226990.78999999998</v>
      </c>
    </row>
    <row r="36" spans="1:13" ht="15" customHeight="1">
      <c r="A36" s="11" t="s">
        <v>61</v>
      </c>
      <c r="B36" s="134"/>
      <c r="C36" s="134"/>
      <c r="D36" s="129" t="s">
        <v>28</v>
      </c>
      <c r="E36" s="129"/>
      <c r="F36" s="129"/>
      <c r="G36" s="129"/>
      <c r="H36" s="75" t="s">
        <v>11</v>
      </c>
      <c r="I36" s="109">
        <f t="shared" si="1"/>
        <v>0.16976289390275406</v>
      </c>
      <c r="J36" s="4">
        <f>K35*0.35</f>
        <v>79446.77649999999</v>
      </c>
      <c r="K36" s="141"/>
      <c r="L36" s="6">
        <f>37257.64-L39</f>
        <v>16221.919999999998</v>
      </c>
      <c r="M36" s="2">
        <v>9443.15</v>
      </c>
    </row>
    <row r="37" spans="1:17" ht="15" customHeight="1">
      <c r="A37" s="11" t="s">
        <v>62</v>
      </c>
      <c r="B37" s="134"/>
      <c r="C37" s="134"/>
      <c r="D37" s="129" t="s">
        <v>30</v>
      </c>
      <c r="E37" s="129"/>
      <c r="F37" s="129"/>
      <c r="G37" s="129"/>
      <c r="H37" s="75" t="s">
        <v>11</v>
      </c>
      <c r="I37" s="109">
        <f t="shared" si="1"/>
        <v>0.15763697290970022</v>
      </c>
      <c r="J37" s="4">
        <f>K35*0.325</f>
        <v>73772.00675</v>
      </c>
      <c r="K37" s="141"/>
      <c r="Q37" s="19">
        <f>SUM(J33:J41)-J32</f>
        <v>0</v>
      </c>
    </row>
    <row r="38" spans="1:13" ht="15" customHeight="1">
      <c r="A38" s="11" t="s">
        <v>63</v>
      </c>
      <c r="B38" s="134"/>
      <c r="C38" s="134"/>
      <c r="D38" s="129" t="s">
        <v>64</v>
      </c>
      <c r="E38" s="129"/>
      <c r="F38" s="129"/>
      <c r="G38" s="129"/>
      <c r="H38" s="75" t="s">
        <v>11</v>
      </c>
      <c r="I38" s="109">
        <f t="shared" si="1"/>
        <v>0.07398415382317489</v>
      </c>
      <c r="J38" s="4">
        <f>K38</f>
        <v>34623.6</v>
      </c>
      <c r="K38" s="5">
        <v>34623.6</v>
      </c>
      <c r="M38" s="19"/>
    </row>
    <row r="39" spans="1:14" ht="15" customHeight="1">
      <c r="A39" s="11" t="s">
        <v>65</v>
      </c>
      <c r="B39" s="134"/>
      <c r="C39" s="134"/>
      <c r="D39" s="129" t="s">
        <v>66</v>
      </c>
      <c r="E39" s="129"/>
      <c r="F39" s="129"/>
      <c r="G39" s="129"/>
      <c r="H39" s="75" t="s">
        <v>11</v>
      </c>
      <c r="I39" s="109">
        <f t="shared" si="1"/>
        <v>0.07491266311628088</v>
      </c>
      <c r="J39" s="4">
        <f>K39+L39+N39</f>
        <v>35058.130000000005</v>
      </c>
      <c r="K39" s="5">
        <v>1254</v>
      </c>
      <c r="L39" s="6">
        <f>37257.64-164.7-16057.22</f>
        <v>21035.72</v>
      </c>
      <c r="M39" s="19"/>
      <c r="N39" s="2">
        <v>12768.41</v>
      </c>
    </row>
    <row r="40" spans="1:11" ht="15" customHeight="1">
      <c r="A40" s="11" t="s">
        <v>67</v>
      </c>
      <c r="B40" s="134"/>
      <c r="C40" s="134"/>
      <c r="D40" s="129" t="s">
        <v>68</v>
      </c>
      <c r="E40" s="129"/>
      <c r="F40" s="129"/>
      <c r="G40" s="129"/>
      <c r="H40" s="75" t="s">
        <v>11</v>
      </c>
      <c r="I40" s="109">
        <f t="shared" si="1"/>
        <v>0.025510532671120783</v>
      </c>
      <c r="J40" s="4">
        <f>11938.59</f>
        <v>11938.59</v>
      </c>
      <c r="K40" s="5">
        <v>11938.59</v>
      </c>
    </row>
    <row r="41" spans="1:10" ht="15" customHeight="1">
      <c r="A41" s="11" t="s">
        <v>69</v>
      </c>
      <c r="B41" s="134"/>
      <c r="C41" s="134"/>
      <c r="D41" s="129" t="s">
        <v>70</v>
      </c>
      <c r="E41" s="129"/>
      <c r="F41" s="129"/>
      <c r="G41" s="129"/>
      <c r="H41" s="75" t="s">
        <v>11</v>
      </c>
      <c r="I41" s="109">
        <f t="shared" si="1"/>
        <v>0.010696628771715094</v>
      </c>
      <c r="J41" s="4">
        <f>370.88+4635</f>
        <v>5005.88</v>
      </c>
    </row>
    <row r="42" spans="1:12" s="34" customFormat="1" ht="15" customHeight="1">
      <c r="A42" s="30"/>
      <c r="B42" s="134"/>
      <c r="C42" s="134"/>
      <c r="D42" s="142" t="s">
        <v>57</v>
      </c>
      <c r="E42" s="142"/>
      <c r="F42" s="142"/>
      <c r="G42" s="142"/>
      <c r="H42" s="76"/>
      <c r="I42" s="90">
        <f>SUM(I33:I41)</f>
        <v>1</v>
      </c>
      <c r="J42" s="4"/>
      <c r="K42" s="32"/>
      <c r="L42" s="33"/>
    </row>
    <row r="43" spans="1:10" ht="15" customHeight="1">
      <c r="A43" s="17">
        <v>4</v>
      </c>
      <c r="B43" s="136" t="s">
        <v>351</v>
      </c>
      <c r="C43" s="136"/>
      <c r="D43" s="134" t="s">
        <v>7</v>
      </c>
      <c r="E43" s="134"/>
      <c r="F43" s="134"/>
      <c r="G43" s="134"/>
      <c r="H43" s="81">
        <f>J43/J$5</f>
        <v>0.16917563953425008</v>
      </c>
      <c r="I43" s="77" t="s">
        <v>17</v>
      </c>
      <c r="J43" s="7">
        <v>432451.28</v>
      </c>
    </row>
    <row r="44" spans="1:12" ht="15" customHeight="1">
      <c r="A44" s="11" t="s">
        <v>71</v>
      </c>
      <c r="B44" s="134"/>
      <c r="C44" s="134"/>
      <c r="D44" s="129" t="s">
        <v>19</v>
      </c>
      <c r="E44" s="129"/>
      <c r="F44" s="129"/>
      <c r="G44" s="129"/>
      <c r="H44" s="75" t="s">
        <v>11</v>
      </c>
      <c r="I44" s="94">
        <f aca="true" t="shared" si="2" ref="I44:I55">J44/$J$43</f>
        <v>0.030225670739140835</v>
      </c>
      <c r="J44" s="4">
        <f>K44+L44</f>
        <v>13071.130000000001</v>
      </c>
      <c r="K44" s="5">
        <v>9948.03</v>
      </c>
      <c r="L44" s="6">
        <v>3123.1</v>
      </c>
    </row>
    <row r="45" spans="1:11" ht="22.5" customHeight="1">
      <c r="A45" s="11" t="s">
        <v>72</v>
      </c>
      <c r="B45" s="134"/>
      <c r="C45" s="134"/>
      <c r="D45" s="129" t="s">
        <v>73</v>
      </c>
      <c r="E45" s="129"/>
      <c r="F45" s="129"/>
      <c r="G45" s="129"/>
      <c r="H45" s="75" t="s">
        <v>11</v>
      </c>
      <c r="I45" s="94">
        <f t="shared" si="2"/>
        <v>0.25926305501974695</v>
      </c>
      <c r="J45" s="4">
        <f>K45</f>
        <v>112118.64</v>
      </c>
      <c r="K45" s="5">
        <v>112118.64</v>
      </c>
    </row>
    <row r="46" spans="1:15" ht="15" customHeight="1">
      <c r="A46" s="11" t="s">
        <v>74</v>
      </c>
      <c r="B46" s="134"/>
      <c r="C46" s="134"/>
      <c r="D46" s="129" t="s">
        <v>24</v>
      </c>
      <c r="E46" s="129"/>
      <c r="F46" s="129"/>
      <c r="G46" s="129"/>
      <c r="H46" s="75" t="s">
        <v>11</v>
      </c>
      <c r="I46" s="94">
        <f t="shared" si="2"/>
        <v>0.21079789612369745</v>
      </c>
      <c r="J46" s="4">
        <f>K46+L46+M46+N46+O46</f>
        <v>91159.82</v>
      </c>
      <c r="K46" s="5">
        <v>19608.1</v>
      </c>
      <c r="L46" s="6">
        <v>4392.05</v>
      </c>
      <c r="M46" s="2">
        <v>10483.26</v>
      </c>
      <c r="N46" s="2">
        <v>55296</v>
      </c>
      <c r="O46" s="2">
        <v>1380.41</v>
      </c>
    </row>
    <row r="47" spans="1:11" ht="15" customHeight="1">
      <c r="A47" s="11" t="s">
        <v>75</v>
      </c>
      <c r="B47" s="134"/>
      <c r="C47" s="134"/>
      <c r="D47" s="129" t="s">
        <v>26</v>
      </c>
      <c r="E47" s="129"/>
      <c r="F47" s="129"/>
      <c r="G47" s="129"/>
      <c r="H47" s="75" t="s">
        <v>11</v>
      </c>
      <c r="I47" s="94">
        <f t="shared" si="2"/>
        <v>0.11329794133110209</v>
      </c>
      <c r="J47" s="4">
        <f>K47*0.325</f>
        <v>48995.83975000001</v>
      </c>
      <c r="K47" s="141">
        <f>162775.47-14000.8-1420.32+L48-671.27</f>
        <v>150756.43000000002</v>
      </c>
    </row>
    <row r="48" spans="1:12" ht="15" customHeight="1">
      <c r="A48" s="11" t="s">
        <v>76</v>
      </c>
      <c r="B48" s="134"/>
      <c r="C48" s="134"/>
      <c r="D48" s="129" t="s">
        <v>28</v>
      </c>
      <c r="E48" s="129"/>
      <c r="F48" s="129"/>
      <c r="G48" s="129"/>
      <c r="H48" s="75" t="s">
        <v>11</v>
      </c>
      <c r="I48" s="94">
        <f t="shared" si="2"/>
        <v>0.1220131675873407</v>
      </c>
      <c r="J48" s="4">
        <f>K47*0.35</f>
        <v>52764.7505</v>
      </c>
      <c r="K48" s="141"/>
      <c r="L48" s="6">
        <v>4073.35</v>
      </c>
    </row>
    <row r="49" spans="1:11" ht="15" customHeight="1">
      <c r="A49" s="11" t="s">
        <v>77</v>
      </c>
      <c r="B49" s="134"/>
      <c r="C49" s="134"/>
      <c r="D49" s="129" t="s">
        <v>30</v>
      </c>
      <c r="E49" s="129"/>
      <c r="F49" s="129"/>
      <c r="G49" s="129"/>
      <c r="H49" s="75" t="s">
        <v>11</v>
      </c>
      <c r="I49" s="94">
        <f t="shared" si="2"/>
        <v>0.11329794133110209</v>
      </c>
      <c r="J49" s="4">
        <f>K47*0.325</f>
        <v>48995.83975000001</v>
      </c>
      <c r="K49" s="141"/>
    </row>
    <row r="50" spans="1:11" ht="15" customHeight="1">
      <c r="A50" s="11" t="s">
        <v>78</v>
      </c>
      <c r="B50" s="134"/>
      <c r="C50" s="134"/>
      <c r="D50" s="143" t="s">
        <v>79</v>
      </c>
      <c r="E50" s="143"/>
      <c r="F50" s="143"/>
      <c r="G50" s="143"/>
      <c r="H50" s="75" t="s">
        <v>11</v>
      </c>
      <c r="I50" s="94">
        <f t="shared" si="2"/>
        <v>0.0032843468517424665</v>
      </c>
      <c r="J50" s="4">
        <v>1420.32</v>
      </c>
      <c r="K50" s="5">
        <v>1420.32</v>
      </c>
    </row>
    <row r="51" spans="1:11" ht="15" customHeight="1">
      <c r="A51" s="11" t="s">
        <v>80</v>
      </c>
      <c r="B51" s="134"/>
      <c r="C51" s="134"/>
      <c r="D51" s="143" t="s">
        <v>81</v>
      </c>
      <c r="E51" s="143"/>
      <c r="F51" s="143"/>
      <c r="G51" s="143"/>
      <c r="H51" s="75" t="s">
        <v>11</v>
      </c>
      <c r="I51" s="94">
        <f t="shared" si="2"/>
        <v>0.032375438916494824</v>
      </c>
      <c r="J51" s="4">
        <f>K51</f>
        <v>14000.8</v>
      </c>
      <c r="K51" s="5">
        <v>14000.8</v>
      </c>
    </row>
    <row r="52" spans="1:12" ht="15" customHeight="1">
      <c r="A52" s="11" t="s">
        <v>82</v>
      </c>
      <c r="B52" s="134"/>
      <c r="C52" s="134"/>
      <c r="D52" s="143" t="s">
        <v>66</v>
      </c>
      <c r="E52" s="143"/>
      <c r="F52" s="143"/>
      <c r="G52" s="143"/>
      <c r="H52" s="75" t="s">
        <v>11</v>
      </c>
      <c r="I52" s="94">
        <f t="shared" si="2"/>
        <v>0.04148101954976292</v>
      </c>
      <c r="J52" s="4">
        <f>K52+L52</f>
        <v>17938.519999999997</v>
      </c>
      <c r="K52" s="5">
        <f>17298.01-3524.84</f>
        <v>13773.169999999998</v>
      </c>
      <c r="L52" s="6">
        <v>4165.35</v>
      </c>
    </row>
    <row r="53" spans="1:14" ht="15" customHeight="1">
      <c r="A53" s="11" t="s">
        <v>83</v>
      </c>
      <c r="B53" s="134"/>
      <c r="C53" s="134"/>
      <c r="D53" s="143" t="s">
        <v>84</v>
      </c>
      <c r="E53" s="143"/>
      <c r="F53" s="143"/>
      <c r="G53" s="143"/>
      <c r="H53" s="75" t="s">
        <v>11</v>
      </c>
      <c r="I53" s="94">
        <f t="shared" si="2"/>
        <v>0.008150837245758644</v>
      </c>
      <c r="J53" s="4">
        <f>K53</f>
        <v>3524.84</v>
      </c>
      <c r="K53" s="5">
        <v>3524.84</v>
      </c>
      <c r="N53" s="19">
        <f>N54-J43</f>
        <v>671.2699999999604</v>
      </c>
    </row>
    <row r="54" spans="1:14" ht="15" customHeight="1">
      <c r="A54" s="11" t="s">
        <v>85</v>
      </c>
      <c r="B54" s="134"/>
      <c r="C54" s="134"/>
      <c r="D54" s="143" t="s">
        <v>68</v>
      </c>
      <c r="E54" s="143"/>
      <c r="F54" s="143"/>
      <c r="G54" s="143"/>
      <c r="H54" s="75" t="s">
        <v>11</v>
      </c>
      <c r="I54" s="94">
        <f t="shared" si="2"/>
        <v>0.03764814848044848</v>
      </c>
      <c r="J54" s="4">
        <f>K54</f>
        <v>16280.99</v>
      </c>
      <c r="K54" s="5">
        <v>16280.99</v>
      </c>
      <c r="N54" s="2">
        <v>433122.55</v>
      </c>
    </row>
    <row r="55" spans="1:14" ht="15" customHeight="1">
      <c r="A55" s="11" t="s">
        <v>86</v>
      </c>
      <c r="B55" s="134"/>
      <c r="C55" s="134"/>
      <c r="D55" s="143" t="s">
        <v>70</v>
      </c>
      <c r="E55" s="143"/>
      <c r="F55" s="143"/>
      <c r="G55" s="143"/>
      <c r="H55" s="75" t="s">
        <v>11</v>
      </c>
      <c r="I55" s="94">
        <f t="shared" si="2"/>
        <v>0.02816453682366254</v>
      </c>
      <c r="J55" s="4">
        <f>239.09+3244.88+K55-L55</f>
        <v>12179.79</v>
      </c>
      <c r="K55" s="5">
        <v>8695.82</v>
      </c>
      <c r="M55" s="19"/>
      <c r="N55" s="19"/>
    </row>
    <row r="56" spans="1:9" ht="15" customHeight="1">
      <c r="A56" s="13"/>
      <c r="B56" s="134"/>
      <c r="C56" s="134"/>
      <c r="D56" s="142" t="s">
        <v>57</v>
      </c>
      <c r="E56" s="142"/>
      <c r="F56" s="142"/>
      <c r="G56" s="142"/>
      <c r="H56" s="75" t="s">
        <v>11</v>
      </c>
      <c r="I56" s="97">
        <f>SUM(I44:I55)</f>
        <v>0.9999999999999999</v>
      </c>
    </row>
    <row r="57" spans="1:12" ht="15.75" customHeight="1">
      <c r="A57" s="17">
        <v>5</v>
      </c>
      <c r="B57" s="136" t="s">
        <v>355</v>
      </c>
      <c r="C57" s="136"/>
      <c r="D57" s="148"/>
      <c r="E57" s="148"/>
      <c r="F57" s="148"/>
      <c r="G57" s="148"/>
      <c r="H57" s="104">
        <f>J57/J5</f>
        <v>0.09688337653125016</v>
      </c>
      <c r="I57" s="81" t="s">
        <v>17</v>
      </c>
      <c r="J57" s="7">
        <v>247655.87</v>
      </c>
      <c r="K57" s="36">
        <f>SUM(J58,J62,J68,J72,J76,J80,J85,J89,J95,J101,J106,J110,J114,J118,J122,J126,J130,J134,J137)</f>
        <v>247655.89999999997</v>
      </c>
      <c r="L57" s="2"/>
    </row>
    <row r="58" spans="1:12" ht="24" customHeight="1">
      <c r="A58" s="37" t="s">
        <v>87</v>
      </c>
      <c r="B58" s="144" t="s">
        <v>88</v>
      </c>
      <c r="C58" s="144"/>
      <c r="D58" s="145" t="s">
        <v>353</v>
      </c>
      <c r="E58" s="145"/>
      <c r="F58" s="145"/>
      <c r="G58" s="145"/>
      <c r="H58" s="112">
        <v>0.0253921</v>
      </c>
      <c r="I58" s="113"/>
      <c r="J58" s="38">
        <f>ROUND(($J$57*H58),2)</f>
        <v>6288.5</v>
      </c>
      <c r="K58" s="39"/>
      <c r="L58" s="2"/>
    </row>
    <row r="59" spans="1:12" ht="18" customHeight="1">
      <c r="A59" s="37" t="s">
        <v>89</v>
      </c>
      <c r="B59" s="146"/>
      <c r="C59" s="146"/>
      <c r="D59" s="147" t="s">
        <v>90</v>
      </c>
      <c r="E59" s="147"/>
      <c r="F59" s="147"/>
      <c r="G59" s="147"/>
      <c r="H59" s="75" t="s">
        <v>11</v>
      </c>
      <c r="I59" s="114">
        <v>0.7826087</v>
      </c>
      <c r="J59" s="40">
        <f>ROUND($J$58*I59,2)</f>
        <v>4921.43</v>
      </c>
      <c r="K59" s="41"/>
      <c r="L59" s="2"/>
    </row>
    <row r="60" spans="1:12" ht="12.75" customHeight="1">
      <c r="A60" s="37" t="s">
        <v>91</v>
      </c>
      <c r="B60" s="151"/>
      <c r="C60" s="151"/>
      <c r="D60" s="147" t="s">
        <v>92</v>
      </c>
      <c r="E60" s="147"/>
      <c r="F60" s="147"/>
      <c r="G60" s="147"/>
      <c r="H60" s="75" t="s">
        <v>11</v>
      </c>
      <c r="I60" s="114">
        <v>0.21738913</v>
      </c>
      <c r="J60" s="40">
        <f>ROUND($J$58*I60,2)</f>
        <v>1367.05</v>
      </c>
      <c r="K60" s="41"/>
      <c r="L60" s="2"/>
    </row>
    <row r="61" spans="1:12" ht="15" customHeight="1">
      <c r="A61" s="42"/>
      <c r="B61" s="152"/>
      <c r="C61" s="152"/>
      <c r="D61" s="142" t="s">
        <v>57</v>
      </c>
      <c r="E61" s="142"/>
      <c r="F61" s="142"/>
      <c r="G61" s="142"/>
      <c r="H61" s="75" t="s">
        <v>11</v>
      </c>
      <c r="I61" s="115">
        <f>SUM(I59:I60)</f>
        <v>0.9999978300000001</v>
      </c>
      <c r="J61" s="40"/>
      <c r="K61" s="43"/>
      <c r="L61" s="2"/>
    </row>
    <row r="62" spans="1:12" ht="17.25" customHeight="1">
      <c r="A62" s="44" t="s">
        <v>93</v>
      </c>
      <c r="B62" s="144" t="s">
        <v>94</v>
      </c>
      <c r="C62" s="144"/>
      <c r="D62" s="149" t="s">
        <v>353</v>
      </c>
      <c r="E62" s="149"/>
      <c r="F62" s="149"/>
      <c r="G62" s="149"/>
      <c r="H62" s="116">
        <v>0.475949</v>
      </c>
      <c r="I62" s="117"/>
      <c r="J62" s="38">
        <f>ROUND(($J$57*H62),2)</f>
        <v>117871.56</v>
      </c>
      <c r="K62" s="39"/>
      <c r="L62" s="2"/>
    </row>
    <row r="63" spans="1:12" ht="12.75" customHeight="1">
      <c r="A63" s="45" t="s">
        <v>95</v>
      </c>
      <c r="B63" s="150"/>
      <c r="C63" s="150"/>
      <c r="D63" s="147" t="s">
        <v>96</v>
      </c>
      <c r="E63" s="147"/>
      <c r="F63" s="147"/>
      <c r="G63" s="147"/>
      <c r="H63" s="75" t="s">
        <v>11</v>
      </c>
      <c r="I63" s="114">
        <v>0.9374103</v>
      </c>
      <c r="J63" s="40">
        <f>ROUND($J$62*I63,2)</f>
        <v>110494.01</v>
      </c>
      <c r="K63" s="41"/>
      <c r="L63" s="2"/>
    </row>
    <row r="64" spans="1:12" ht="12.75" customHeight="1">
      <c r="A64" s="45" t="s">
        <v>97</v>
      </c>
      <c r="B64" s="155"/>
      <c r="C64" s="155"/>
      <c r="D64" s="147" t="s">
        <v>98</v>
      </c>
      <c r="E64" s="147"/>
      <c r="F64" s="147"/>
      <c r="G64" s="147"/>
      <c r="H64" s="75" t="s">
        <v>11</v>
      </c>
      <c r="I64" s="114">
        <v>0.0362588</v>
      </c>
      <c r="J64" s="40">
        <f>ROUND($J$62*I64,2)</f>
        <v>4273.88</v>
      </c>
      <c r="K64" s="41"/>
      <c r="L64" s="2"/>
    </row>
    <row r="65" spans="1:11" s="2" customFormat="1" ht="12.75" customHeight="1">
      <c r="A65" s="45" t="s">
        <v>99</v>
      </c>
      <c r="B65" s="155"/>
      <c r="C65" s="155"/>
      <c r="D65" s="147" t="s">
        <v>100</v>
      </c>
      <c r="E65" s="147"/>
      <c r="F65" s="147"/>
      <c r="G65" s="147"/>
      <c r="H65" s="75" t="s">
        <v>11</v>
      </c>
      <c r="I65" s="114">
        <v>0.0125966</v>
      </c>
      <c r="J65" s="40">
        <f>ROUND($J$62*I65,2)</f>
        <v>1484.78</v>
      </c>
      <c r="K65" s="41"/>
    </row>
    <row r="66" spans="1:11" s="2" customFormat="1" ht="12.75" customHeight="1">
      <c r="A66" s="45" t="s">
        <v>101</v>
      </c>
      <c r="B66" s="153"/>
      <c r="C66" s="153"/>
      <c r="D66" s="154" t="s">
        <v>102</v>
      </c>
      <c r="E66" s="154"/>
      <c r="F66" s="154"/>
      <c r="G66" s="154"/>
      <c r="H66" s="75" t="s">
        <v>11</v>
      </c>
      <c r="I66" s="114">
        <v>0.0137344</v>
      </c>
      <c r="J66" s="40">
        <f>ROUND($J$62*I66,2)</f>
        <v>1618.9</v>
      </c>
      <c r="K66" s="41"/>
    </row>
    <row r="67" spans="1:11" s="2" customFormat="1" ht="15" customHeight="1">
      <c r="A67" s="37"/>
      <c r="B67" s="155"/>
      <c r="C67" s="155"/>
      <c r="D67" s="142" t="s">
        <v>57</v>
      </c>
      <c r="E67" s="142"/>
      <c r="F67" s="142"/>
      <c r="G67" s="142"/>
      <c r="H67" s="118"/>
      <c r="I67" s="115">
        <f>SUM(I63:I66)</f>
        <v>1.0000001</v>
      </c>
      <c r="J67" s="40"/>
      <c r="K67" s="43"/>
    </row>
    <row r="68" spans="1:11" s="2" customFormat="1" ht="24.75" customHeight="1">
      <c r="A68" s="45" t="s">
        <v>103</v>
      </c>
      <c r="B68" s="155" t="s">
        <v>104</v>
      </c>
      <c r="C68" s="155"/>
      <c r="D68" s="157" t="s">
        <v>354</v>
      </c>
      <c r="E68" s="157"/>
      <c r="F68" s="157"/>
      <c r="G68" s="157"/>
      <c r="H68" s="116">
        <v>0.086975</v>
      </c>
      <c r="I68" s="119"/>
      <c r="J68" s="38">
        <f>ROUND(($J$57*H68),2)</f>
        <v>21539.87</v>
      </c>
      <c r="K68" s="39"/>
    </row>
    <row r="69" spans="1:11" s="2" customFormat="1" ht="12.75" customHeight="1">
      <c r="A69" s="45" t="s">
        <v>105</v>
      </c>
      <c r="B69" s="156"/>
      <c r="C69" s="156"/>
      <c r="D69" s="158" t="s">
        <v>106</v>
      </c>
      <c r="E69" s="158"/>
      <c r="F69" s="158"/>
      <c r="G69" s="158"/>
      <c r="H69" s="75" t="s">
        <v>11</v>
      </c>
      <c r="I69" s="114">
        <v>0.8079296</v>
      </c>
      <c r="J69" s="40">
        <f>ROUND($J$68*I69,2)</f>
        <v>17402.7</v>
      </c>
      <c r="K69" s="41"/>
    </row>
    <row r="70" spans="1:11" s="2" customFormat="1" ht="12.75" customHeight="1">
      <c r="A70" s="45" t="s">
        <v>107</v>
      </c>
      <c r="B70" s="156"/>
      <c r="C70" s="156"/>
      <c r="D70" s="154" t="s">
        <v>108</v>
      </c>
      <c r="E70" s="154"/>
      <c r="F70" s="154"/>
      <c r="G70" s="154"/>
      <c r="H70" s="75" t="s">
        <v>11</v>
      </c>
      <c r="I70" s="114">
        <v>0.1920704</v>
      </c>
      <c r="J70" s="40">
        <f>ROUND($J$68*I70,2)</f>
        <v>4137.17</v>
      </c>
      <c r="K70" s="41"/>
    </row>
    <row r="71" spans="1:11" s="2" customFormat="1" ht="15" customHeight="1">
      <c r="A71" s="45"/>
      <c r="B71" s="156"/>
      <c r="C71" s="156"/>
      <c r="D71" s="142" t="s">
        <v>57</v>
      </c>
      <c r="E71" s="142"/>
      <c r="F71" s="142"/>
      <c r="G71" s="142"/>
      <c r="H71" s="120"/>
      <c r="I71" s="115">
        <f>SUM(I69:I70)</f>
        <v>1</v>
      </c>
      <c r="J71" s="40">
        <f>ROUND($J$68*I71,2)</f>
        <v>21539.87</v>
      </c>
      <c r="K71" s="43"/>
    </row>
    <row r="72" spans="1:11" s="2" customFormat="1" ht="21.75" customHeight="1">
      <c r="A72" s="37" t="s">
        <v>109</v>
      </c>
      <c r="B72" s="155" t="s">
        <v>110</v>
      </c>
      <c r="C72" s="155"/>
      <c r="D72" s="149" t="s">
        <v>353</v>
      </c>
      <c r="E72" s="149"/>
      <c r="F72" s="149"/>
      <c r="G72" s="149"/>
      <c r="H72" s="116">
        <v>0.0108343</v>
      </c>
      <c r="I72" s="119"/>
      <c r="J72" s="38">
        <f>ROUND(($J$57*H72),2)</f>
        <v>2683.18</v>
      </c>
      <c r="K72" s="39"/>
    </row>
    <row r="73" spans="1:11" s="2" customFormat="1" ht="12.75" customHeight="1">
      <c r="A73" s="37" t="s">
        <v>111</v>
      </c>
      <c r="B73" s="159"/>
      <c r="C73" s="159"/>
      <c r="D73" s="158" t="s">
        <v>112</v>
      </c>
      <c r="E73" s="158"/>
      <c r="F73" s="158"/>
      <c r="G73" s="158"/>
      <c r="H73" s="75" t="s">
        <v>11</v>
      </c>
      <c r="I73" s="121">
        <v>0.3921842</v>
      </c>
      <c r="J73" s="40">
        <f>ROUND($J$72*I73,2)</f>
        <v>1052.3</v>
      </c>
      <c r="K73" s="41"/>
    </row>
    <row r="74" spans="1:11" s="2" customFormat="1" ht="12.75" customHeight="1">
      <c r="A74" s="37" t="s">
        <v>113</v>
      </c>
      <c r="B74" s="159"/>
      <c r="C74" s="159"/>
      <c r="D74" s="154" t="s">
        <v>108</v>
      </c>
      <c r="E74" s="154"/>
      <c r="F74" s="154"/>
      <c r="G74" s="154"/>
      <c r="H74" s="75" t="s">
        <v>11</v>
      </c>
      <c r="I74" s="114">
        <v>0.6078158</v>
      </c>
      <c r="J74" s="40">
        <f>ROUND($J$72*I74,2)</f>
        <v>1630.88</v>
      </c>
      <c r="K74" s="41"/>
    </row>
    <row r="75" spans="1:11" s="2" customFormat="1" ht="15" customHeight="1">
      <c r="A75" s="37"/>
      <c r="B75" s="159"/>
      <c r="C75" s="159"/>
      <c r="D75" s="142" t="s">
        <v>57</v>
      </c>
      <c r="E75" s="142"/>
      <c r="F75" s="142"/>
      <c r="G75" s="142"/>
      <c r="H75" s="118"/>
      <c r="I75" s="115">
        <f>SUM(I73:I74)</f>
        <v>1</v>
      </c>
      <c r="J75" s="40"/>
      <c r="K75" s="43"/>
    </row>
    <row r="76" spans="1:11" s="2" customFormat="1" ht="20.25" customHeight="1">
      <c r="A76" s="37" t="s">
        <v>114</v>
      </c>
      <c r="B76" s="155" t="s">
        <v>115</v>
      </c>
      <c r="C76" s="155"/>
      <c r="D76" s="149" t="s">
        <v>353</v>
      </c>
      <c r="E76" s="149"/>
      <c r="F76" s="149"/>
      <c r="G76" s="149"/>
      <c r="H76" s="118">
        <v>0.0041438</v>
      </c>
      <c r="I76" s="119"/>
      <c r="J76" s="38">
        <f>ROUND(($J$57*H76),2)</f>
        <v>1026.24</v>
      </c>
      <c r="K76" s="39"/>
    </row>
    <row r="77" spans="1:11" s="2" customFormat="1" ht="12.75" customHeight="1">
      <c r="A77" s="37" t="s">
        <v>116</v>
      </c>
      <c r="B77" s="159"/>
      <c r="C77" s="159"/>
      <c r="D77" s="158" t="s">
        <v>117</v>
      </c>
      <c r="E77" s="158"/>
      <c r="F77" s="158"/>
      <c r="G77" s="158"/>
      <c r="H77" s="75" t="s">
        <v>11</v>
      </c>
      <c r="I77" s="121">
        <v>0.0651912</v>
      </c>
      <c r="J77" s="40">
        <f>ROUND(($J$76*I77),2)</f>
        <v>66.9</v>
      </c>
      <c r="K77" s="41"/>
    </row>
    <row r="78" spans="1:11" s="2" customFormat="1" ht="12.75" customHeight="1">
      <c r="A78" s="37" t="s">
        <v>118</v>
      </c>
      <c r="B78" s="159"/>
      <c r="C78" s="159"/>
      <c r="D78" s="154" t="s">
        <v>108</v>
      </c>
      <c r="E78" s="154"/>
      <c r="F78" s="154"/>
      <c r="G78" s="154"/>
      <c r="H78" s="75" t="s">
        <v>11</v>
      </c>
      <c r="I78" s="114">
        <v>0.9348088</v>
      </c>
      <c r="J78" s="40">
        <f>ROUND(($J$76*I78),2)</f>
        <v>959.34</v>
      </c>
      <c r="K78" s="41"/>
    </row>
    <row r="79" spans="1:11" s="2" customFormat="1" ht="15" customHeight="1">
      <c r="A79" s="37"/>
      <c r="B79" s="159"/>
      <c r="C79" s="159"/>
      <c r="D79" s="142" t="s">
        <v>57</v>
      </c>
      <c r="E79" s="142"/>
      <c r="F79" s="142"/>
      <c r="G79" s="142"/>
      <c r="H79" s="118"/>
      <c r="I79" s="115">
        <f>SUM(I77:I78)</f>
        <v>1</v>
      </c>
      <c r="J79" s="40"/>
      <c r="K79" s="43"/>
    </row>
    <row r="80" spans="1:11" s="2" customFormat="1" ht="23.25" customHeight="1">
      <c r="A80" s="37" t="s">
        <v>119</v>
      </c>
      <c r="B80" s="160" t="s">
        <v>120</v>
      </c>
      <c r="C80" s="160"/>
      <c r="D80" s="149" t="s">
        <v>353</v>
      </c>
      <c r="E80" s="149"/>
      <c r="F80" s="149"/>
      <c r="G80" s="149"/>
      <c r="H80" s="118">
        <v>0.0066043</v>
      </c>
      <c r="I80" s="119"/>
      <c r="J80" s="38">
        <f>ROUND(($J$57*H80),2)</f>
        <v>1635.59</v>
      </c>
      <c r="K80" s="39"/>
    </row>
    <row r="81" spans="1:11" s="2" customFormat="1" ht="27.75" customHeight="1">
      <c r="A81" s="37" t="s">
        <v>121</v>
      </c>
      <c r="B81" s="159"/>
      <c r="C81" s="159"/>
      <c r="D81" s="158" t="s">
        <v>122</v>
      </c>
      <c r="E81" s="158"/>
      <c r="F81" s="158"/>
      <c r="G81" s="158"/>
      <c r="H81" s="75" t="s">
        <v>11</v>
      </c>
      <c r="I81" s="114">
        <v>0.5600915</v>
      </c>
      <c r="J81" s="40">
        <f>ROUND(($J$80*I81),2)</f>
        <v>916.08</v>
      </c>
      <c r="K81" s="41"/>
    </row>
    <row r="82" spans="1:11" s="2" customFormat="1" ht="12.75" customHeight="1">
      <c r="A82" s="37" t="s">
        <v>123</v>
      </c>
      <c r="B82" s="159"/>
      <c r="C82" s="159"/>
      <c r="D82" s="154" t="s">
        <v>108</v>
      </c>
      <c r="E82" s="154"/>
      <c r="F82" s="154"/>
      <c r="G82" s="154"/>
      <c r="H82" s="75" t="s">
        <v>11</v>
      </c>
      <c r="I82" s="114">
        <v>0.4399085</v>
      </c>
      <c r="J82" s="40">
        <f>ROUND(($J$80*I82),2)</f>
        <v>719.51</v>
      </c>
      <c r="K82" s="41"/>
    </row>
    <row r="83" spans="1:11" s="2" customFormat="1" ht="15" customHeight="1">
      <c r="A83" s="37"/>
      <c r="B83" s="159"/>
      <c r="C83" s="159"/>
      <c r="D83" s="142" t="s">
        <v>57</v>
      </c>
      <c r="E83" s="142"/>
      <c r="F83" s="142"/>
      <c r="G83" s="142"/>
      <c r="H83" s="118"/>
      <c r="I83" s="115">
        <f>SUM(I81:I82)</f>
        <v>1</v>
      </c>
      <c r="J83" s="40"/>
      <c r="K83" s="43"/>
    </row>
    <row r="84" spans="1:11" s="2" customFormat="1" ht="15" customHeight="1">
      <c r="A84" s="37"/>
      <c r="B84" s="155"/>
      <c r="C84" s="155"/>
      <c r="D84" s="162"/>
      <c r="E84" s="162"/>
      <c r="F84" s="162"/>
      <c r="G84" s="162"/>
      <c r="H84" s="118"/>
      <c r="I84" s="119"/>
      <c r="J84" s="40"/>
      <c r="K84" s="43"/>
    </row>
    <row r="85" spans="1:11" s="2" customFormat="1" ht="24.75" customHeight="1">
      <c r="A85" s="37" t="s">
        <v>124</v>
      </c>
      <c r="B85" s="155" t="s">
        <v>352</v>
      </c>
      <c r="C85" s="155"/>
      <c r="D85" s="149" t="s">
        <v>353</v>
      </c>
      <c r="E85" s="149"/>
      <c r="F85" s="149"/>
      <c r="G85" s="149"/>
      <c r="H85" s="116">
        <v>0.0283984</v>
      </c>
      <c r="I85" s="119"/>
      <c r="J85" s="38">
        <f>ROUND(($J$57*H85),2)</f>
        <v>7033.03</v>
      </c>
      <c r="K85" s="39"/>
    </row>
    <row r="86" spans="1:11" s="2" customFormat="1" ht="15" customHeight="1">
      <c r="A86" s="37" t="s">
        <v>125</v>
      </c>
      <c r="B86" s="159"/>
      <c r="C86" s="159"/>
      <c r="D86" s="161" t="s">
        <v>126</v>
      </c>
      <c r="E86" s="161"/>
      <c r="F86" s="161"/>
      <c r="G86" s="161"/>
      <c r="H86" s="75" t="s">
        <v>11</v>
      </c>
      <c r="I86" s="114">
        <v>0.5907831</v>
      </c>
      <c r="J86" s="40">
        <f>ROUND(($J$85*I86),2)</f>
        <v>4155</v>
      </c>
      <c r="K86" s="41"/>
    </row>
    <row r="87" spans="1:11" s="2" customFormat="1" ht="16.5" customHeight="1">
      <c r="A87" s="37" t="s">
        <v>127</v>
      </c>
      <c r="B87" s="159"/>
      <c r="C87" s="159"/>
      <c r="D87" s="154" t="s">
        <v>108</v>
      </c>
      <c r="E87" s="154"/>
      <c r="F87" s="154"/>
      <c r="G87" s="154"/>
      <c r="H87" s="75" t="s">
        <v>11</v>
      </c>
      <c r="I87" s="114">
        <v>0.4092169</v>
      </c>
      <c r="J87" s="40">
        <f>ROUND(($J$85*I87),2)</f>
        <v>2878.03</v>
      </c>
      <c r="K87" s="41"/>
    </row>
    <row r="88" spans="1:11" s="2" customFormat="1" ht="15" customHeight="1">
      <c r="A88" s="37"/>
      <c r="B88" s="159"/>
      <c r="C88" s="159"/>
      <c r="D88" s="142" t="s">
        <v>57</v>
      </c>
      <c r="E88" s="142"/>
      <c r="F88" s="142"/>
      <c r="G88" s="142"/>
      <c r="H88" s="118"/>
      <c r="I88" s="115">
        <f>SUM(I86:I87)</f>
        <v>1</v>
      </c>
      <c r="J88" s="40"/>
      <c r="K88" s="43"/>
    </row>
    <row r="89" spans="1:11" s="2" customFormat="1" ht="24" customHeight="1">
      <c r="A89" s="37" t="s">
        <v>128</v>
      </c>
      <c r="B89" s="155" t="s">
        <v>129</v>
      </c>
      <c r="C89" s="155"/>
      <c r="D89" s="149" t="s">
        <v>353</v>
      </c>
      <c r="E89" s="149"/>
      <c r="F89" s="149"/>
      <c r="G89" s="149"/>
      <c r="H89" s="116">
        <v>0.0532316</v>
      </c>
      <c r="I89" s="119"/>
      <c r="J89" s="38">
        <f>ROUND(($J$57*H89),2)</f>
        <v>13183.12</v>
      </c>
      <c r="K89" s="39"/>
    </row>
    <row r="90" spans="1:11" s="2" customFormat="1" ht="24" customHeight="1">
      <c r="A90" s="37" t="s">
        <v>130</v>
      </c>
      <c r="B90" s="163"/>
      <c r="C90" s="163"/>
      <c r="D90" s="158" t="s">
        <v>131</v>
      </c>
      <c r="E90" s="158"/>
      <c r="F90" s="158"/>
      <c r="G90" s="158"/>
      <c r="H90" s="75" t="s">
        <v>11</v>
      </c>
      <c r="I90" s="114">
        <v>0.3090482</v>
      </c>
      <c r="J90" s="40">
        <f>ROUND(($J$89*I90),2)</f>
        <v>4074.22</v>
      </c>
      <c r="K90" s="41"/>
    </row>
    <row r="91" spans="1:11" s="2" customFormat="1" ht="15" customHeight="1">
      <c r="A91" s="37" t="s">
        <v>132</v>
      </c>
      <c r="B91" s="122"/>
      <c r="C91" s="123"/>
      <c r="D91" s="158" t="s">
        <v>133</v>
      </c>
      <c r="E91" s="158"/>
      <c r="F91" s="158"/>
      <c r="G91" s="158"/>
      <c r="H91" s="75" t="s">
        <v>11</v>
      </c>
      <c r="I91" s="114">
        <v>0.4853745</v>
      </c>
      <c r="J91" s="40">
        <f>ROUND(($J$89*I91),2)</f>
        <v>6398.75</v>
      </c>
      <c r="K91" s="41"/>
    </row>
    <row r="92" spans="1:11" s="2" customFormat="1" ht="15" customHeight="1">
      <c r="A92" s="37" t="s">
        <v>134</v>
      </c>
      <c r="B92" s="122"/>
      <c r="C92" s="123"/>
      <c r="D92" s="164" t="s">
        <v>108</v>
      </c>
      <c r="E92" s="164"/>
      <c r="F92" s="164"/>
      <c r="G92" s="164"/>
      <c r="H92" s="75" t="s">
        <v>11</v>
      </c>
      <c r="I92" s="114">
        <v>0.1509992</v>
      </c>
      <c r="J92" s="40">
        <f>ROUND(($J$89*I92),2)</f>
        <v>1990.64</v>
      </c>
      <c r="K92" s="41"/>
    </row>
    <row r="93" spans="1:11" s="2" customFormat="1" ht="12.75" customHeight="1">
      <c r="A93" s="37" t="s">
        <v>135</v>
      </c>
      <c r="B93" s="163"/>
      <c r="C93" s="163"/>
      <c r="D93" s="164" t="s">
        <v>136</v>
      </c>
      <c r="E93" s="164"/>
      <c r="F93" s="164"/>
      <c r="G93" s="164"/>
      <c r="H93" s="75" t="s">
        <v>11</v>
      </c>
      <c r="I93" s="114">
        <v>0.054578</v>
      </c>
      <c r="J93" s="40">
        <f>ROUND(($J$89*I93),2)</f>
        <v>719.51</v>
      </c>
      <c r="K93" s="41"/>
    </row>
    <row r="94" spans="1:11" s="2" customFormat="1" ht="15" customHeight="1">
      <c r="A94" s="37"/>
      <c r="B94" s="163"/>
      <c r="C94" s="163"/>
      <c r="D94" s="142" t="s">
        <v>57</v>
      </c>
      <c r="E94" s="142"/>
      <c r="F94" s="142"/>
      <c r="G94" s="142"/>
      <c r="H94" s="118"/>
      <c r="I94" s="115">
        <f>SUM(I90:I93)</f>
        <v>0.9999998999999999</v>
      </c>
      <c r="J94" s="40"/>
      <c r="K94" s="43"/>
    </row>
    <row r="95" spans="1:11" s="2" customFormat="1" ht="25.5" customHeight="1">
      <c r="A95" s="45" t="s">
        <v>137</v>
      </c>
      <c r="B95" s="155" t="s">
        <v>138</v>
      </c>
      <c r="C95" s="155"/>
      <c r="D95" s="149" t="s">
        <v>353</v>
      </c>
      <c r="E95" s="149"/>
      <c r="F95" s="149"/>
      <c r="G95" s="149"/>
      <c r="H95" s="116">
        <v>0.0344268</v>
      </c>
      <c r="I95" s="119"/>
      <c r="J95" s="38">
        <f>ROUND(($J$57*H95),2)</f>
        <v>8526</v>
      </c>
      <c r="K95" s="39"/>
    </row>
    <row r="96" spans="1:11" s="2" customFormat="1" ht="12.75" customHeight="1">
      <c r="A96" s="45" t="s">
        <v>139</v>
      </c>
      <c r="B96" s="155"/>
      <c r="C96" s="155"/>
      <c r="D96" s="158" t="s">
        <v>140</v>
      </c>
      <c r="E96" s="158"/>
      <c r="F96" s="158"/>
      <c r="G96" s="158"/>
      <c r="H96" s="75" t="s">
        <v>11</v>
      </c>
      <c r="I96" s="114">
        <v>0.0357138</v>
      </c>
      <c r="J96" s="40">
        <f>ROUND(($J$95*I96),2)</f>
        <v>304.5</v>
      </c>
      <c r="K96" s="41"/>
    </row>
    <row r="97" spans="1:11" s="2" customFormat="1" ht="12.75" customHeight="1">
      <c r="A97" s="45" t="s">
        <v>141</v>
      </c>
      <c r="B97" s="124"/>
      <c r="C97" s="125"/>
      <c r="D97" s="158" t="s">
        <v>133</v>
      </c>
      <c r="E97" s="158" t="s">
        <v>133</v>
      </c>
      <c r="F97" s="158" t="s">
        <v>133</v>
      </c>
      <c r="G97" s="158" t="s">
        <v>133</v>
      </c>
      <c r="H97" s="75"/>
      <c r="I97" s="114">
        <v>0.7504983</v>
      </c>
      <c r="J97" s="40">
        <f>ROUND(($J$95*I97),2)</f>
        <v>6398.75</v>
      </c>
      <c r="K97" s="41"/>
    </row>
    <row r="98" spans="1:11" s="2" customFormat="1" ht="12.75" customHeight="1">
      <c r="A98" s="45" t="s">
        <v>142</v>
      </c>
      <c r="B98" s="155"/>
      <c r="C98" s="155"/>
      <c r="D98" s="158" t="s">
        <v>108</v>
      </c>
      <c r="E98" s="158" t="s">
        <v>108</v>
      </c>
      <c r="F98" s="158" t="s">
        <v>108</v>
      </c>
      <c r="G98" s="158" t="s">
        <v>108</v>
      </c>
      <c r="H98" s="75" t="s">
        <v>11</v>
      </c>
      <c r="I98" s="114">
        <v>0.1293979</v>
      </c>
      <c r="J98" s="40">
        <f>ROUND(($J$95*I98),2)</f>
        <v>1103.25</v>
      </c>
      <c r="K98" s="41"/>
    </row>
    <row r="99" spans="1:11" s="2" customFormat="1" ht="12.75" customHeight="1">
      <c r="A99" s="45" t="s">
        <v>143</v>
      </c>
      <c r="B99" s="150"/>
      <c r="C99" s="150"/>
      <c r="D99" s="158" t="s">
        <v>136</v>
      </c>
      <c r="E99" s="158" t="s">
        <v>136</v>
      </c>
      <c r="F99" s="158" t="s">
        <v>136</v>
      </c>
      <c r="G99" s="158" t="s">
        <v>136</v>
      </c>
      <c r="H99" s="75" t="s">
        <v>11</v>
      </c>
      <c r="I99" s="114">
        <v>0.0843899</v>
      </c>
      <c r="J99" s="40">
        <f>ROUND(($J$95*I99),2)</f>
        <v>719.51</v>
      </c>
      <c r="K99" s="41"/>
    </row>
    <row r="100" spans="1:11" s="2" customFormat="1" ht="15" customHeight="1">
      <c r="A100" s="37"/>
      <c r="B100" s="155"/>
      <c r="C100" s="155"/>
      <c r="D100" s="142" t="s">
        <v>57</v>
      </c>
      <c r="E100" s="142"/>
      <c r="F100" s="142"/>
      <c r="G100" s="142"/>
      <c r="H100" s="118"/>
      <c r="I100" s="115">
        <f>SUM(I96:I99)</f>
        <v>0.9999999</v>
      </c>
      <c r="J100" s="46"/>
      <c r="K100" s="43"/>
    </row>
    <row r="101" spans="1:11" s="2" customFormat="1" ht="25.5" customHeight="1">
      <c r="A101" s="45" t="s">
        <v>144</v>
      </c>
      <c r="B101" s="155" t="s">
        <v>145</v>
      </c>
      <c r="C101" s="155"/>
      <c r="D101" s="149" t="s">
        <v>353</v>
      </c>
      <c r="E101" s="149"/>
      <c r="F101" s="149"/>
      <c r="G101" s="149"/>
      <c r="H101" s="116">
        <v>0.012152</v>
      </c>
      <c r="I101" s="119"/>
      <c r="J101" s="38">
        <f>ROUND(($J$57*H101),2)</f>
        <v>3009.51</v>
      </c>
      <c r="K101" s="39"/>
    </row>
    <row r="102" spans="1:11" s="2" customFormat="1" ht="24.75" customHeight="1">
      <c r="A102" s="45" t="s">
        <v>146</v>
      </c>
      <c r="B102" s="155"/>
      <c r="C102" s="155"/>
      <c r="D102" s="158" t="s">
        <v>147</v>
      </c>
      <c r="E102" s="158"/>
      <c r="F102" s="158"/>
      <c r="G102" s="158"/>
      <c r="H102" s="75" t="s">
        <v>11</v>
      </c>
      <c r="I102" s="114">
        <v>0.2827657</v>
      </c>
      <c r="J102" s="40">
        <f>ROUND(($J$101*I102),2)</f>
        <v>850.99</v>
      </c>
      <c r="K102" s="41"/>
    </row>
    <row r="103" spans="1:11" s="2" customFormat="1" ht="12.75" customHeight="1">
      <c r="A103" s="45" t="s">
        <v>148</v>
      </c>
      <c r="B103" s="124"/>
      <c r="C103" s="125"/>
      <c r="D103" s="158" t="s">
        <v>108</v>
      </c>
      <c r="E103" s="158" t="s">
        <v>108</v>
      </c>
      <c r="F103" s="158" t="s">
        <v>108</v>
      </c>
      <c r="G103" s="158" t="s">
        <v>108</v>
      </c>
      <c r="H103" s="75"/>
      <c r="I103" s="114">
        <v>0.4781562</v>
      </c>
      <c r="J103" s="40">
        <f>ROUND(($J$101*I103),2)</f>
        <v>1439.02</v>
      </c>
      <c r="K103" s="41"/>
    </row>
    <row r="104" spans="1:11" s="2" customFormat="1" ht="12.75" customHeight="1">
      <c r="A104" s="45" t="s">
        <v>149</v>
      </c>
      <c r="B104" s="155"/>
      <c r="C104" s="155"/>
      <c r="D104" s="158" t="s">
        <v>150</v>
      </c>
      <c r="E104" s="158" t="s">
        <v>150</v>
      </c>
      <c r="F104" s="158" t="s">
        <v>150</v>
      </c>
      <c r="G104" s="158" t="s">
        <v>150</v>
      </c>
      <c r="H104" s="75" t="s">
        <v>11</v>
      </c>
      <c r="I104" s="114">
        <v>0.2390781</v>
      </c>
      <c r="J104" s="40">
        <f>ROUND(($J$101*I104),2)</f>
        <v>719.51</v>
      </c>
      <c r="K104" s="41"/>
    </row>
    <row r="105" spans="1:11" s="2" customFormat="1" ht="15" customHeight="1">
      <c r="A105" s="37"/>
      <c r="B105" s="155"/>
      <c r="C105" s="155"/>
      <c r="D105" s="142" t="s">
        <v>57</v>
      </c>
      <c r="E105" s="142"/>
      <c r="F105" s="142"/>
      <c r="G105" s="142"/>
      <c r="H105" s="118"/>
      <c r="I105" s="115">
        <f>SUM(I102:I104)</f>
        <v>1</v>
      </c>
      <c r="J105" s="46"/>
      <c r="K105" s="43"/>
    </row>
    <row r="106" spans="1:11" s="2" customFormat="1" ht="25.5" customHeight="1">
      <c r="A106" s="45" t="s">
        <v>151</v>
      </c>
      <c r="B106" s="155" t="s">
        <v>152</v>
      </c>
      <c r="C106" s="155"/>
      <c r="D106" s="149" t="s">
        <v>353</v>
      </c>
      <c r="E106" s="149"/>
      <c r="F106" s="149"/>
      <c r="G106" s="149"/>
      <c r="H106" s="116">
        <v>0.0063594</v>
      </c>
      <c r="I106" s="119"/>
      <c r="J106" s="38">
        <f>ROUND(($J$57*H106),2)</f>
        <v>1574.94</v>
      </c>
      <c r="K106" s="39"/>
    </row>
    <row r="107" spans="1:11" s="2" customFormat="1" ht="24" customHeight="1">
      <c r="A107" s="45" t="s">
        <v>153</v>
      </c>
      <c r="B107" s="155"/>
      <c r="C107" s="155"/>
      <c r="D107" s="158" t="s">
        <v>154</v>
      </c>
      <c r="E107" s="158"/>
      <c r="F107" s="158"/>
      <c r="G107" s="158"/>
      <c r="H107" s="75" t="s">
        <v>11</v>
      </c>
      <c r="I107" s="114">
        <v>0.2994959</v>
      </c>
      <c r="J107" s="40">
        <f>ROUND(($J$106*I107),2)</f>
        <v>471.69</v>
      </c>
      <c r="K107" s="41"/>
    </row>
    <row r="108" spans="1:11" s="2" customFormat="1" ht="12.75" customHeight="1">
      <c r="A108" s="45" t="s">
        <v>155</v>
      </c>
      <c r="B108" s="124"/>
      <c r="C108" s="125"/>
      <c r="D108" s="158" t="s">
        <v>156</v>
      </c>
      <c r="E108" s="158" t="s">
        <v>156</v>
      </c>
      <c r="F108" s="158" t="s">
        <v>156</v>
      </c>
      <c r="G108" s="158" t="s">
        <v>156</v>
      </c>
      <c r="H108" s="75"/>
      <c r="I108" s="114">
        <v>0.7005041</v>
      </c>
      <c r="J108" s="40">
        <f>ROUND(($J$106*I108),2)</f>
        <v>1103.25</v>
      </c>
      <c r="K108" s="41"/>
    </row>
    <row r="109" spans="1:11" s="2" customFormat="1" ht="15" customHeight="1">
      <c r="A109" s="37"/>
      <c r="B109" s="155"/>
      <c r="C109" s="155"/>
      <c r="D109" s="142" t="s">
        <v>57</v>
      </c>
      <c r="E109" s="142"/>
      <c r="F109" s="142"/>
      <c r="G109" s="142"/>
      <c r="H109" s="118"/>
      <c r="I109" s="115">
        <f>SUM(I107:I108)</f>
        <v>1</v>
      </c>
      <c r="J109" s="46"/>
      <c r="K109" s="43"/>
    </row>
    <row r="110" spans="1:11" s="2" customFormat="1" ht="25.5" customHeight="1">
      <c r="A110" s="45" t="s">
        <v>157</v>
      </c>
      <c r="B110" s="155" t="s">
        <v>158</v>
      </c>
      <c r="C110" s="155"/>
      <c r="D110" s="149" t="s">
        <v>353</v>
      </c>
      <c r="E110" s="149"/>
      <c r="F110" s="149"/>
      <c r="G110" s="149"/>
      <c r="H110" s="116">
        <v>0.0086753</v>
      </c>
      <c r="I110" s="119"/>
      <c r="J110" s="38">
        <f>ROUND(($J$57*H110),2)</f>
        <v>2148.49</v>
      </c>
      <c r="K110" s="39"/>
    </row>
    <row r="111" spans="1:11" s="2" customFormat="1" ht="23.25" customHeight="1">
      <c r="A111" s="45" t="s">
        <v>159</v>
      </c>
      <c r="B111" s="155"/>
      <c r="C111" s="155"/>
      <c r="D111" s="158" t="s">
        <v>160</v>
      </c>
      <c r="E111" s="158"/>
      <c r="F111" s="158"/>
      <c r="G111" s="158"/>
      <c r="H111" s="75" t="s">
        <v>11</v>
      </c>
      <c r="I111" s="114">
        <v>0.486504</v>
      </c>
      <c r="J111" s="40">
        <f>ROUND(($J$110*I111),2)</f>
        <v>1045.25</v>
      </c>
      <c r="K111" s="41"/>
    </row>
    <row r="112" spans="1:11" s="2" customFormat="1" ht="12.75" customHeight="1">
      <c r="A112" s="45" t="s">
        <v>161</v>
      </c>
      <c r="B112" s="124"/>
      <c r="C112" s="125"/>
      <c r="D112" s="164" t="s">
        <v>156</v>
      </c>
      <c r="E112" s="164"/>
      <c r="F112" s="164"/>
      <c r="G112" s="164"/>
      <c r="H112" s="75" t="s">
        <v>11</v>
      </c>
      <c r="I112" s="114">
        <v>0.513496</v>
      </c>
      <c r="J112" s="40">
        <f>ROUND(($J$110*I112),2)</f>
        <v>1103.24</v>
      </c>
      <c r="K112" s="41"/>
    </row>
    <row r="113" spans="1:11" s="2" customFormat="1" ht="15" customHeight="1">
      <c r="A113" s="37"/>
      <c r="B113" s="155"/>
      <c r="C113" s="155"/>
      <c r="D113" s="142" t="s">
        <v>57</v>
      </c>
      <c r="E113" s="142"/>
      <c r="F113" s="142"/>
      <c r="G113" s="142"/>
      <c r="H113" s="118"/>
      <c r="I113" s="115">
        <f>SUM(I111:I112)</f>
        <v>1</v>
      </c>
      <c r="J113" s="46"/>
      <c r="K113" s="43"/>
    </row>
    <row r="114" spans="1:11" s="2" customFormat="1" ht="25.5" customHeight="1">
      <c r="A114" s="45" t="s">
        <v>162</v>
      </c>
      <c r="B114" s="155" t="s">
        <v>163</v>
      </c>
      <c r="C114" s="155"/>
      <c r="D114" s="149" t="s">
        <v>353</v>
      </c>
      <c r="E114" s="149"/>
      <c r="F114" s="149"/>
      <c r="G114" s="149"/>
      <c r="H114" s="116">
        <v>0.032163</v>
      </c>
      <c r="I114" s="119"/>
      <c r="J114" s="38">
        <f>ROUND(($J$57*H114),2)</f>
        <v>7965.36</v>
      </c>
      <c r="K114" s="39"/>
    </row>
    <row r="115" spans="1:11" s="2" customFormat="1" ht="23.25" customHeight="1">
      <c r="A115" s="45" t="s">
        <v>164</v>
      </c>
      <c r="B115" s="155"/>
      <c r="C115" s="155"/>
      <c r="D115" s="158" t="s">
        <v>165</v>
      </c>
      <c r="E115" s="158"/>
      <c r="F115" s="158"/>
      <c r="G115" s="158"/>
      <c r="H115" s="75" t="s">
        <v>11</v>
      </c>
      <c r="I115" s="114">
        <v>0.8193402</v>
      </c>
      <c r="J115" s="40">
        <f>ROUND(($J$114*I115),2)</f>
        <v>6526.34</v>
      </c>
      <c r="K115" s="41"/>
    </row>
    <row r="116" spans="1:11" s="2" customFormat="1" ht="12.75" customHeight="1">
      <c r="A116" s="45" t="s">
        <v>166</v>
      </c>
      <c r="B116" s="124"/>
      <c r="C116" s="125"/>
      <c r="D116" s="161" t="s">
        <v>156</v>
      </c>
      <c r="E116" s="161"/>
      <c r="F116" s="161"/>
      <c r="G116" s="161"/>
      <c r="H116" s="75" t="s">
        <v>11</v>
      </c>
      <c r="I116" s="114">
        <v>0.1806598</v>
      </c>
      <c r="J116" s="40">
        <f>ROUND(($J$114*I116),2)</f>
        <v>1439.02</v>
      </c>
      <c r="K116" s="41"/>
    </row>
    <row r="117" spans="1:11" s="2" customFormat="1" ht="15" customHeight="1">
      <c r="A117" s="37"/>
      <c r="B117" s="155"/>
      <c r="C117" s="155"/>
      <c r="D117" s="142" t="s">
        <v>57</v>
      </c>
      <c r="E117" s="142"/>
      <c r="F117" s="142"/>
      <c r="G117" s="142"/>
      <c r="H117" s="118"/>
      <c r="I117" s="115">
        <f>SUM(I115:I116)</f>
        <v>1</v>
      </c>
      <c r="J117" s="46"/>
      <c r="K117" s="43"/>
    </row>
    <row r="118" spans="1:11" s="2" customFormat="1" ht="25.5" customHeight="1">
      <c r="A118" s="45" t="s">
        <v>167</v>
      </c>
      <c r="B118" s="155" t="s">
        <v>168</v>
      </c>
      <c r="C118" s="155"/>
      <c r="D118" s="149" t="s">
        <v>353</v>
      </c>
      <c r="E118" s="149"/>
      <c r="F118" s="149"/>
      <c r="G118" s="149"/>
      <c r="H118" s="116">
        <v>0.0085196</v>
      </c>
      <c r="I118" s="119"/>
      <c r="J118" s="38">
        <f>ROUND(($J$57*H118),2)</f>
        <v>2109.93</v>
      </c>
      <c r="K118" s="39"/>
    </row>
    <row r="119" spans="1:11" s="2" customFormat="1" ht="21.75" customHeight="1">
      <c r="A119" s="45" t="s">
        <v>169</v>
      </c>
      <c r="B119" s="155"/>
      <c r="C119" s="155"/>
      <c r="D119" s="158" t="s">
        <v>170</v>
      </c>
      <c r="E119" s="158"/>
      <c r="F119" s="158"/>
      <c r="G119" s="158"/>
      <c r="H119" s="75" t="s">
        <v>11</v>
      </c>
      <c r="I119" s="114">
        <v>0.5339532</v>
      </c>
      <c r="J119" s="40">
        <f>ROUND(($J$118*I119),2)</f>
        <v>1126.6</v>
      </c>
      <c r="K119" s="41"/>
    </row>
    <row r="120" spans="1:11" s="2" customFormat="1" ht="12.75" customHeight="1">
      <c r="A120" s="45" t="s">
        <v>171</v>
      </c>
      <c r="B120" s="124"/>
      <c r="C120" s="125"/>
      <c r="D120" s="164" t="s">
        <v>108</v>
      </c>
      <c r="E120" s="164"/>
      <c r="F120" s="164"/>
      <c r="G120" s="164"/>
      <c r="H120" s="75" t="s">
        <v>11</v>
      </c>
      <c r="I120" s="114">
        <v>0.4660468</v>
      </c>
      <c r="J120" s="40">
        <f>ROUND(($J$118*I120),2)</f>
        <v>983.33</v>
      </c>
      <c r="K120" s="41"/>
    </row>
    <row r="121" spans="1:11" s="2" customFormat="1" ht="15" customHeight="1">
      <c r="A121" s="37"/>
      <c r="B121" s="155"/>
      <c r="C121" s="155"/>
      <c r="D121" s="142" t="s">
        <v>57</v>
      </c>
      <c r="E121" s="142"/>
      <c r="F121" s="142"/>
      <c r="G121" s="142"/>
      <c r="H121" s="118"/>
      <c r="I121" s="115">
        <f>SUM(I119:I120)</f>
        <v>1</v>
      </c>
      <c r="J121" s="46"/>
      <c r="K121" s="43"/>
    </row>
    <row r="122" spans="1:11" s="2" customFormat="1" ht="25.5" customHeight="1">
      <c r="A122" s="45" t="s">
        <v>172</v>
      </c>
      <c r="B122" s="155" t="s">
        <v>173</v>
      </c>
      <c r="C122" s="155"/>
      <c r="D122" s="149" t="s">
        <v>353</v>
      </c>
      <c r="E122" s="149"/>
      <c r="F122" s="149"/>
      <c r="G122" s="149"/>
      <c r="H122" s="116">
        <v>0.0053318</v>
      </c>
      <c r="I122" s="119"/>
      <c r="J122" s="38">
        <f>ROUND(($J$57*H122),2)</f>
        <v>1320.45</v>
      </c>
      <c r="K122" s="39"/>
    </row>
    <row r="123" spans="1:11" s="2" customFormat="1" ht="24" customHeight="1">
      <c r="A123" s="45" t="s">
        <v>174</v>
      </c>
      <c r="B123" s="155"/>
      <c r="C123" s="155"/>
      <c r="D123" s="161" t="s">
        <v>175</v>
      </c>
      <c r="E123" s="161"/>
      <c r="F123" s="161"/>
      <c r="G123" s="161"/>
      <c r="H123" s="75" t="s">
        <v>11</v>
      </c>
      <c r="I123" s="114">
        <v>0.273467</v>
      </c>
      <c r="J123" s="40">
        <f>ROUND(($J$122*I123),2)</f>
        <v>361.1</v>
      </c>
      <c r="K123" s="41"/>
    </row>
    <row r="124" spans="1:11" s="2" customFormat="1" ht="12.75" customHeight="1">
      <c r="A124" s="45" t="s">
        <v>176</v>
      </c>
      <c r="B124" s="124"/>
      <c r="C124" s="125"/>
      <c r="D124" s="161" t="s">
        <v>108</v>
      </c>
      <c r="E124" s="161" t="s">
        <v>108</v>
      </c>
      <c r="F124" s="161" t="s">
        <v>108</v>
      </c>
      <c r="G124" s="161" t="s">
        <v>108</v>
      </c>
      <c r="H124" s="75" t="s">
        <v>11</v>
      </c>
      <c r="I124" s="114">
        <v>0.726533</v>
      </c>
      <c r="J124" s="40">
        <f>ROUND(($J$122*I124),2)</f>
        <v>959.35</v>
      </c>
      <c r="K124" s="41"/>
    </row>
    <row r="125" spans="1:11" s="2" customFormat="1" ht="15" customHeight="1">
      <c r="A125" s="37"/>
      <c r="B125" s="155"/>
      <c r="C125" s="155"/>
      <c r="D125" s="142" t="s">
        <v>57</v>
      </c>
      <c r="E125" s="142"/>
      <c r="F125" s="142"/>
      <c r="G125" s="142"/>
      <c r="H125" s="118"/>
      <c r="I125" s="115">
        <f>SUM(I123:I124)</f>
        <v>1</v>
      </c>
      <c r="J125" s="46"/>
      <c r="K125" s="43"/>
    </row>
    <row r="126" spans="1:11" s="2" customFormat="1" ht="25.5" customHeight="1">
      <c r="A126" s="45" t="s">
        <v>177</v>
      </c>
      <c r="B126" s="155" t="s">
        <v>178</v>
      </c>
      <c r="C126" s="155"/>
      <c r="D126" s="149" t="s">
        <v>353</v>
      </c>
      <c r="E126" s="149"/>
      <c r="F126" s="149"/>
      <c r="G126" s="149"/>
      <c r="H126" s="116">
        <v>0.0086211</v>
      </c>
      <c r="I126" s="119"/>
      <c r="J126" s="38">
        <f>ROUND(($J$57*H126),2)</f>
        <v>2135.07</v>
      </c>
      <c r="K126" s="39"/>
    </row>
    <row r="127" spans="1:11" s="2" customFormat="1" ht="12.75" customHeight="1">
      <c r="A127" s="45" t="s">
        <v>179</v>
      </c>
      <c r="B127" s="155"/>
      <c r="C127" s="155"/>
      <c r="D127" s="161" t="s">
        <v>180</v>
      </c>
      <c r="E127" s="161"/>
      <c r="F127" s="161"/>
      <c r="G127" s="161"/>
      <c r="H127" s="75" t="s">
        <v>11</v>
      </c>
      <c r="I127" s="114">
        <v>0.1575116</v>
      </c>
      <c r="J127" s="40">
        <f>ROUND(($J$126*I127),2)</f>
        <v>336.3</v>
      </c>
      <c r="K127" s="41"/>
    </row>
    <row r="128" spans="1:11" s="2" customFormat="1" ht="12.75" customHeight="1">
      <c r="A128" s="45" t="s">
        <v>181</v>
      </c>
      <c r="B128" s="124"/>
      <c r="C128" s="125"/>
      <c r="D128" s="154" t="s">
        <v>182</v>
      </c>
      <c r="E128" s="154"/>
      <c r="F128" s="154"/>
      <c r="G128" s="154"/>
      <c r="H128" s="75" t="s">
        <v>11</v>
      </c>
      <c r="I128" s="114">
        <v>0.8424884</v>
      </c>
      <c r="J128" s="40">
        <f>ROUND(($J$126*I128),2)</f>
        <v>1798.77</v>
      </c>
      <c r="K128" s="41"/>
    </row>
    <row r="129" spans="1:12" ht="15" customHeight="1">
      <c r="A129" s="37"/>
      <c r="B129" s="155"/>
      <c r="C129" s="155"/>
      <c r="D129" s="142" t="s">
        <v>57</v>
      </c>
      <c r="E129" s="142"/>
      <c r="F129" s="142"/>
      <c r="G129" s="142"/>
      <c r="H129" s="118"/>
      <c r="I129" s="115">
        <f>SUM(I127:I128)</f>
        <v>1</v>
      </c>
      <c r="J129" s="46"/>
      <c r="K129" s="43"/>
      <c r="L129" s="2"/>
    </row>
    <row r="130" spans="1:12" ht="25.5" customHeight="1">
      <c r="A130" s="45" t="s">
        <v>183</v>
      </c>
      <c r="B130" s="155" t="s">
        <v>184</v>
      </c>
      <c r="C130" s="155"/>
      <c r="D130" s="149" t="s">
        <v>353</v>
      </c>
      <c r="E130" s="149"/>
      <c r="F130" s="149"/>
      <c r="G130" s="149"/>
      <c r="H130" s="116">
        <v>0.006285</v>
      </c>
      <c r="I130" s="119"/>
      <c r="J130" s="38">
        <f>ROUND(($J$57*H130),2)</f>
        <v>1556.52</v>
      </c>
      <c r="K130" s="39"/>
      <c r="L130" s="2"/>
    </row>
    <row r="131" spans="1:12" ht="12.75" customHeight="1">
      <c r="A131" s="45" t="s">
        <v>185</v>
      </c>
      <c r="B131" s="155"/>
      <c r="C131" s="155"/>
      <c r="D131" s="158" t="s">
        <v>186</v>
      </c>
      <c r="E131" s="158"/>
      <c r="F131" s="158"/>
      <c r="G131" s="158"/>
      <c r="H131" s="75" t="s">
        <v>11</v>
      </c>
      <c r="I131" s="114">
        <v>0.2295721</v>
      </c>
      <c r="J131" s="40">
        <f>ROUND(($J$130*I131),2)</f>
        <v>357.33</v>
      </c>
      <c r="K131" s="41"/>
      <c r="L131" s="2"/>
    </row>
    <row r="132" spans="1:12" ht="12.75" customHeight="1">
      <c r="A132" s="45" t="s">
        <v>187</v>
      </c>
      <c r="B132" s="124"/>
      <c r="C132" s="125"/>
      <c r="D132" s="158" t="s">
        <v>156</v>
      </c>
      <c r="E132" s="158" t="s">
        <v>156</v>
      </c>
      <c r="F132" s="158" t="s">
        <v>156</v>
      </c>
      <c r="G132" s="158" t="s">
        <v>156</v>
      </c>
      <c r="H132" s="75" t="s">
        <v>11</v>
      </c>
      <c r="I132" s="114">
        <v>0.7704279</v>
      </c>
      <c r="J132" s="40">
        <f>ROUND(($J$130*I132),2)</f>
        <v>1199.19</v>
      </c>
      <c r="K132" s="41"/>
      <c r="L132" s="2"/>
    </row>
    <row r="133" spans="1:12" ht="15" customHeight="1">
      <c r="A133" s="37"/>
      <c r="B133" s="155"/>
      <c r="C133" s="155"/>
      <c r="D133" s="142" t="s">
        <v>57</v>
      </c>
      <c r="E133" s="142"/>
      <c r="F133" s="142"/>
      <c r="G133" s="142"/>
      <c r="H133" s="118"/>
      <c r="I133" s="115">
        <f>SUM(I131:I132)</f>
        <v>1</v>
      </c>
      <c r="J133" s="46"/>
      <c r="K133" s="43"/>
      <c r="L133" s="2"/>
    </row>
    <row r="134" spans="1:12" ht="25.5" customHeight="1">
      <c r="A134" s="45" t="s">
        <v>188</v>
      </c>
      <c r="B134" s="155" t="s">
        <v>189</v>
      </c>
      <c r="C134" s="155"/>
      <c r="D134" s="149" t="s">
        <v>353</v>
      </c>
      <c r="E134" s="149"/>
      <c r="F134" s="149"/>
      <c r="G134" s="149"/>
      <c r="H134" s="116">
        <v>0.1593059</v>
      </c>
      <c r="I134" s="119"/>
      <c r="J134" s="38">
        <f>ROUND(($J$57*H134),2)</f>
        <v>39453.04</v>
      </c>
      <c r="K134" s="39"/>
      <c r="L134" s="2"/>
    </row>
    <row r="135" spans="1:12" ht="12.75" customHeight="1">
      <c r="A135" s="45" t="s">
        <v>190</v>
      </c>
      <c r="B135" s="155"/>
      <c r="C135" s="155"/>
      <c r="D135" s="158" t="s">
        <v>191</v>
      </c>
      <c r="E135" s="158"/>
      <c r="F135" s="158"/>
      <c r="G135" s="158"/>
      <c r="H135" s="75" t="s">
        <v>11</v>
      </c>
      <c r="I135" s="114"/>
      <c r="J135" s="40"/>
      <c r="K135" s="41"/>
      <c r="L135" s="2"/>
    </row>
    <row r="136" spans="1:12" ht="15" customHeight="1">
      <c r="A136" s="37"/>
      <c r="B136" s="155"/>
      <c r="C136" s="155"/>
      <c r="D136" s="142" t="s">
        <v>57</v>
      </c>
      <c r="E136" s="142"/>
      <c r="F136" s="142"/>
      <c r="G136" s="142"/>
      <c r="H136" s="118"/>
      <c r="I136" s="115">
        <v>1</v>
      </c>
      <c r="J136" s="40"/>
      <c r="K136" s="43"/>
      <c r="L136" s="2"/>
    </row>
    <row r="137" spans="1:12" ht="25.5" customHeight="1">
      <c r="A137" s="45" t="s">
        <v>192</v>
      </c>
      <c r="B137" s="155" t="s">
        <v>193</v>
      </c>
      <c r="C137" s="155"/>
      <c r="D137" s="149" t="s">
        <v>353</v>
      </c>
      <c r="E137" s="149"/>
      <c r="F137" s="149"/>
      <c r="G137" s="149"/>
      <c r="H137" s="116">
        <v>0.0266317</v>
      </c>
      <c r="I137" s="119"/>
      <c r="J137" s="38">
        <f>ROUND(($J$57*H137),2)</f>
        <v>6595.5</v>
      </c>
      <c r="K137" s="39"/>
      <c r="L137" s="2"/>
    </row>
    <row r="138" spans="1:12" ht="12.75" customHeight="1">
      <c r="A138" s="45" t="s">
        <v>194</v>
      </c>
      <c r="B138" s="155"/>
      <c r="C138" s="155"/>
      <c r="D138" s="158" t="s">
        <v>195</v>
      </c>
      <c r="E138" s="158"/>
      <c r="F138" s="158"/>
      <c r="G138" s="158"/>
      <c r="H138" s="75" t="s">
        <v>11</v>
      </c>
      <c r="I138" s="114">
        <v>0.63636363</v>
      </c>
      <c r="J138" s="40">
        <f>ROUND(($J$137*I138),2)</f>
        <v>4197.14</v>
      </c>
      <c r="K138" s="41"/>
      <c r="L138" s="2"/>
    </row>
    <row r="139" spans="1:12" ht="12.75" customHeight="1">
      <c r="A139" s="45" t="s">
        <v>196</v>
      </c>
      <c r="B139" s="124"/>
      <c r="C139" s="125"/>
      <c r="D139" s="158" t="s">
        <v>197</v>
      </c>
      <c r="E139" s="158"/>
      <c r="F139" s="158"/>
      <c r="G139" s="158"/>
      <c r="H139" s="75" t="s">
        <v>11</v>
      </c>
      <c r="I139" s="114">
        <v>0.363636</v>
      </c>
      <c r="J139" s="40">
        <f>ROUND(($J$137*I139),2)</f>
        <v>2398.36</v>
      </c>
      <c r="K139" s="41"/>
      <c r="L139" s="2"/>
    </row>
    <row r="140" spans="1:12" ht="15" customHeight="1">
      <c r="A140" s="37"/>
      <c r="B140" s="155"/>
      <c r="C140" s="155"/>
      <c r="D140" s="142" t="s">
        <v>57</v>
      </c>
      <c r="E140" s="142"/>
      <c r="F140" s="142"/>
      <c r="G140" s="142"/>
      <c r="H140" s="118"/>
      <c r="I140" s="115">
        <f>SUM(I138:I139)</f>
        <v>0.99999963</v>
      </c>
      <c r="J140" s="46"/>
      <c r="K140" s="43"/>
      <c r="L140" s="2"/>
    </row>
    <row r="141" spans="1:256" s="54" customFormat="1" ht="15" customHeight="1">
      <c r="A141" s="165" t="s">
        <v>198</v>
      </c>
      <c r="B141" s="165"/>
      <c r="C141" s="165"/>
      <c r="D141" s="165"/>
      <c r="E141" s="165"/>
      <c r="F141" s="165"/>
      <c r="G141" s="165"/>
      <c r="H141" s="166">
        <f>SUM(H6+H11+H32+H43+H57)</f>
        <v>1</v>
      </c>
      <c r="I141" s="167"/>
      <c r="J141" s="47">
        <f>J57+J43+J32+J11+J6</f>
        <v>2556226.66</v>
      </c>
      <c r="K141" s="48"/>
      <c r="L141" s="48"/>
      <c r="M141" s="49"/>
      <c r="N141" s="49"/>
      <c r="O141" s="49"/>
      <c r="P141" s="49"/>
      <c r="Q141" s="50"/>
      <c r="R141" s="51"/>
      <c r="S141" s="50"/>
      <c r="T141" s="48"/>
      <c r="U141" s="48"/>
      <c r="V141" s="49"/>
      <c r="W141" s="49"/>
      <c r="X141" s="49"/>
      <c r="Y141" s="49"/>
      <c r="Z141" s="50"/>
      <c r="AA141" s="51"/>
      <c r="AB141" s="50"/>
      <c r="AC141" s="48"/>
      <c r="AD141" s="52"/>
      <c r="AE141" s="53"/>
      <c r="AH141" s="55"/>
      <c r="AI141" s="14"/>
      <c r="AJ141" s="56"/>
      <c r="AK141" s="14"/>
      <c r="AL141" s="57"/>
      <c r="AM141" s="52"/>
      <c r="AN141" s="53"/>
      <c r="AQ141" s="55"/>
      <c r="AR141" s="14"/>
      <c r="AS141" s="56"/>
      <c r="AT141" s="14"/>
      <c r="AU141" s="57"/>
      <c r="AV141" s="52"/>
      <c r="AW141" s="53"/>
      <c r="AZ141" s="55"/>
      <c r="BA141" s="14"/>
      <c r="BB141" s="56"/>
      <c r="BC141" s="14"/>
      <c r="BD141" s="57"/>
      <c r="BE141" s="52"/>
      <c r="BF141" s="53"/>
      <c r="BI141" s="55"/>
      <c r="BJ141" s="14"/>
      <c r="BK141" s="56"/>
      <c r="BL141" s="14"/>
      <c r="BM141" s="57"/>
      <c r="BN141" s="52"/>
      <c r="BO141" s="53"/>
      <c r="BR141" s="55"/>
      <c r="BS141" s="14"/>
      <c r="BT141" s="56"/>
      <c r="BU141" s="14"/>
      <c r="BV141" s="57"/>
      <c r="BW141" s="52"/>
      <c r="BX141" s="53"/>
      <c r="CA141" s="55"/>
      <c r="CB141" s="14"/>
      <c r="CC141" s="56"/>
      <c r="CD141" s="14"/>
      <c r="CE141" s="57"/>
      <c r="CF141" s="52"/>
      <c r="CG141" s="53"/>
      <c r="CJ141" s="55"/>
      <c r="CK141" s="14"/>
      <c r="CL141" s="56"/>
      <c r="CM141" s="14"/>
      <c r="CN141" s="57"/>
      <c r="CO141" s="52"/>
      <c r="CP141" s="53"/>
      <c r="CS141" s="55"/>
      <c r="CT141" s="14"/>
      <c r="CU141" s="56"/>
      <c r="CV141" s="14"/>
      <c r="CW141" s="57"/>
      <c r="CX141" s="52"/>
      <c r="CY141" s="53"/>
      <c r="DB141" s="55"/>
      <c r="DC141" s="14"/>
      <c r="DD141" s="56"/>
      <c r="DE141" s="14"/>
      <c r="DF141" s="57"/>
      <c r="DG141" s="52"/>
      <c r="DH141" s="53"/>
      <c r="DK141" s="55"/>
      <c r="DL141" s="14"/>
      <c r="DM141" s="56"/>
      <c r="DN141" s="14"/>
      <c r="DO141" s="57"/>
      <c r="DP141" s="52"/>
      <c r="DQ141" s="53"/>
      <c r="DT141" s="55"/>
      <c r="DU141" s="14"/>
      <c r="DV141" s="56"/>
      <c r="DW141" s="14"/>
      <c r="DX141" s="57"/>
      <c r="DY141" s="52"/>
      <c r="DZ141" s="53"/>
      <c r="EC141" s="55"/>
      <c r="ED141" s="14"/>
      <c r="EE141" s="56"/>
      <c r="EF141" s="14"/>
      <c r="EG141" s="57"/>
      <c r="EH141" s="52"/>
      <c r="EI141" s="53"/>
      <c r="EL141" s="55"/>
      <c r="EM141" s="14"/>
      <c r="EN141" s="56"/>
      <c r="EO141" s="14"/>
      <c r="EP141" s="57"/>
      <c r="EQ141" s="52"/>
      <c r="ER141" s="53"/>
      <c r="EU141" s="55"/>
      <c r="EV141" s="14"/>
      <c r="EW141" s="56"/>
      <c r="EX141" s="14"/>
      <c r="EY141" s="57"/>
      <c r="EZ141" s="52"/>
      <c r="FA141" s="53"/>
      <c r="FD141" s="55"/>
      <c r="FE141" s="14"/>
      <c r="FF141" s="56"/>
      <c r="FG141" s="14"/>
      <c r="FH141" s="57"/>
      <c r="FI141" s="52"/>
      <c r="FJ141" s="53"/>
      <c r="FM141" s="55"/>
      <c r="FN141" s="14"/>
      <c r="FO141" s="56"/>
      <c r="FP141" s="14"/>
      <c r="FQ141" s="57"/>
      <c r="FR141" s="52"/>
      <c r="FS141" s="53"/>
      <c r="FV141" s="55"/>
      <c r="FW141" s="14"/>
      <c r="FX141" s="56"/>
      <c r="FY141" s="14"/>
      <c r="FZ141" s="57"/>
      <c r="GA141" s="52"/>
      <c r="GB141" s="53"/>
      <c r="GE141" s="55"/>
      <c r="GF141" s="14"/>
      <c r="GG141" s="56"/>
      <c r="GH141" s="14"/>
      <c r="GI141" s="57"/>
      <c r="GJ141" s="52"/>
      <c r="GK141" s="53"/>
      <c r="GN141" s="55"/>
      <c r="GO141" s="14"/>
      <c r="GP141" s="56"/>
      <c r="GQ141" s="14"/>
      <c r="GR141" s="57"/>
      <c r="GS141" s="52"/>
      <c r="GT141" s="53"/>
      <c r="GW141" s="55"/>
      <c r="GX141" s="14"/>
      <c r="GY141" s="56"/>
      <c r="GZ141" s="14"/>
      <c r="HA141" s="57"/>
      <c r="HB141" s="52"/>
      <c r="HC141" s="53"/>
      <c r="HF141" s="55"/>
      <c r="HG141" s="14"/>
      <c r="HH141" s="56"/>
      <c r="HI141" s="14"/>
      <c r="HJ141" s="57"/>
      <c r="HK141" s="52"/>
      <c r="HL141" s="53"/>
      <c r="HO141" s="55"/>
      <c r="HP141" s="14"/>
      <c r="HQ141" s="56"/>
      <c r="HR141" s="14"/>
      <c r="HS141" s="57"/>
      <c r="HT141" s="52"/>
      <c r="HU141" s="53"/>
      <c r="HX141" s="55"/>
      <c r="HY141" s="14"/>
      <c r="HZ141" s="56"/>
      <c r="IA141" s="14"/>
      <c r="IB141" s="57"/>
      <c r="IC141" s="52"/>
      <c r="ID141" s="53"/>
      <c r="IG141" s="55"/>
      <c r="IH141" s="14"/>
      <c r="II141" s="56"/>
      <c r="IJ141" s="14"/>
      <c r="IK141" s="57"/>
      <c r="IL141" s="52"/>
      <c r="IM141" s="53"/>
      <c r="IP141" s="55"/>
      <c r="IQ141" s="14"/>
      <c r="IR141" s="56"/>
      <c r="IS141" s="14"/>
      <c r="IT141" s="57"/>
      <c r="IU141" s="52"/>
      <c r="IV141" s="53"/>
    </row>
    <row r="142" spans="1:256" s="54" customFormat="1" ht="6.75" customHeight="1">
      <c r="A142" s="165"/>
      <c r="B142" s="165"/>
      <c r="C142" s="165"/>
      <c r="D142" s="165"/>
      <c r="E142" s="165"/>
      <c r="F142" s="165"/>
      <c r="G142" s="165"/>
      <c r="H142" s="166"/>
      <c r="I142" s="167"/>
      <c r="J142" s="47"/>
      <c r="K142" s="48"/>
      <c r="L142" s="48"/>
      <c r="M142" s="49"/>
      <c r="N142" s="49"/>
      <c r="O142" s="49"/>
      <c r="P142" s="49"/>
      <c r="Q142" s="50"/>
      <c r="R142" s="51"/>
      <c r="S142" s="50"/>
      <c r="T142" s="48"/>
      <c r="U142" s="48"/>
      <c r="V142" s="49"/>
      <c r="W142" s="49"/>
      <c r="X142" s="49"/>
      <c r="Y142" s="49"/>
      <c r="Z142" s="50"/>
      <c r="AA142" s="51"/>
      <c r="AB142" s="50"/>
      <c r="AC142" s="48"/>
      <c r="AD142" s="52"/>
      <c r="AE142" s="53"/>
      <c r="AH142" s="55"/>
      <c r="AI142" s="14"/>
      <c r="AJ142" s="56"/>
      <c r="AK142" s="14"/>
      <c r="AL142" s="57"/>
      <c r="AM142" s="52"/>
      <c r="AN142" s="53"/>
      <c r="AQ142" s="55"/>
      <c r="AR142" s="14"/>
      <c r="AS142" s="56"/>
      <c r="AT142" s="14"/>
      <c r="AU142" s="57"/>
      <c r="AV142" s="52"/>
      <c r="AW142" s="53"/>
      <c r="AZ142" s="55"/>
      <c r="BA142" s="14"/>
      <c r="BB142" s="56"/>
      <c r="BC142" s="14"/>
      <c r="BD142" s="57"/>
      <c r="BE142" s="52"/>
      <c r="BF142" s="53"/>
      <c r="BI142" s="55"/>
      <c r="BJ142" s="14"/>
      <c r="BK142" s="56"/>
      <c r="BL142" s="14"/>
      <c r="BM142" s="57"/>
      <c r="BN142" s="52"/>
      <c r="BO142" s="53"/>
      <c r="BR142" s="55"/>
      <c r="BS142" s="14"/>
      <c r="BT142" s="56"/>
      <c r="BU142" s="14"/>
      <c r="BV142" s="57"/>
      <c r="BW142" s="52"/>
      <c r="BX142" s="53"/>
      <c r="CA142" s="55"/>
      <c r="CB142" s="14"/>
      <c r="CC142" s="56"/>
      <c r="CD142" s="14"/>
      <c r="CE142" s="57"/>
      <c r="CF142" s="52"/>
      <c r="CG142" s="53"/>
      <c r="CJ142" s="55"/>
      <c r="CK142" s="14"/>
      <c r="CL142" s="56"/>
      <c r="CM142" s="14"/>
      <c r="CN142" s="57"/>
      <c r="CO142" s="52"/>
      <c r="CP142" s="53"/>
      <c r="CS142" s="55"/>
      <c r="CT142" s="14"/>
      <c r="CU142" s="56"/>
      <c r="CV142" s="14"/>
      <c r="CW142" s="57"/>
      <c r="CX142" s="52"/>
      <c r="CY142" s="53"/>
      <c r="DB142" s="55"/>
      <c r="DC142" s="14"/>
      <c r="DD142" s="56"/>
      <c r="DE142" s="14"/>
      <c r="DF142" s="57"/>
      <c r="DG142" s="52"/>
      <c r="DH142" s="53"/>
      <c r="DK142" s="55"/>
      <c r="DL142" s="14"/>
      <c r="DM142" s="56"/>
      <c r="DN142" s="14"/>
      <c r="DO142" s="57"/>
      <c r="DP142" s="52"/>
      <c r="DQ142" s="53"/>
      <c r="DT142" s="55"/>
      <c r="DU142" s="14"/>
      <c r="DV142" s="56"/>
      <c r="DW142" s="14"/>
      <c r="DX142" s="57"/>
      <c r="DY142" s="52"/>
      <c r="DZ142" s="53"/>
      <c r="EC142" s="55"/>
      <c r="ED142" s="14"/>
      <c r="EE142" s="56"/>
      <c r="EF142" s="14"/>
      <c r="EG142" s="57"/>
      <c r="EH142" s="52"/>
      <c r="EI142" s="53"/>
      <c r="EL142" s="55"/>
      <c r="EM142" s="14"/>
      <c r="EN142" s="56"/>
      <c r="EO142" s="14"/>
      <c r="EP142" s="57"/>
      <c r="EQ142" s="52"/>
      <c r="ER142" s="53"/>
      <c r="EU142" s="55"/>
      <c r="EV142" s="14"/>
      <c r="EW142" s="56"/>
      <c r="EX142" s="14"/>
      <c r="EY142" s="57"/>
      <c r="EZ142" s="52"/>
      <c r="FA142" s="53"/>
      <c r="FD142" s="55"/>
      <c r="FE142" s="14"/>
      <c r="FF142" s="56"/>
      <c r="FG142" s="14"/>
      <c r="FH142" s="57"/>
      <c r="FI142" s="52"/>
      <c r="FJ142" s="53"/>
      <c r="FM142" s="55"/>
      <c r="FN142" s="14"/>
      <c r="FO142" s="56"/>
      <c r="FP142" s="14"/>
      <c r="FQ142" s="57"/>
      <c r="FR142" s="52"/>
      <c r="FS142" s="53"/>
      <c r="FV142" s="55"/>
      <c r="FW142" s="14"/>
      <c r="FX142" s="56"/>
      <c r="FY142" s="14"/>
      <c r="FZ142" s="57"/>
      <c r="GA142" s="52"/>
      <c r="GB142" s="53"/>
      <c r="GE142" s="55"/>
      <c r="GF142" s="14"/>
      <c r="GG142" s="56"/>
      <c r="GH142" s="14"/>
      <c r="GI142" s="57"/>
      <c r="GJ142" s="52"/>
      <c r="GK142" s="53"/>
      <c r="GN142" s="55"/>
      <c r="GO142" s="14"/>
      <c r="GP142" s="56"/>
      <c r="GQ142" s="14"/>
      <c r="GR142" s="57"/>
      <c r="GS142" s="52"/>
      <c r="GT142" s="53"/>
      <c r="GW142" s="55"/>
      <c r="GX142" s="14"/>
      <c r="GY142" s="56"/>
      <c r="GZ142" s="14"/>
      <c r="HA142" s="57"/>
      <c r="HB142" s="52"/>
      <c r="HC142" s="53"/>
      <c r="HF142" s="55"/>
      <c r="HG142" s="14"/>
      <c r="HH142" s="56"/>
      <c r="HI142" s="14"/>
      <c r="HJ142" s="57"/>
      <c r="HK142" s="52"/>
      <c r="HL142" s="53"/>
      <c r="HO142" s="55"/>
      <c r="HP142" s="14"/>
      <c r="HQ142" s="56"/>
      <c r="HR142" s="14"/>
      <c r="HS142" s="57"/>
      <c r="HT142" s="52"/>
      <c r="HU142" s="53"/>
      <c r="HX142" s="55"/>
      <c r="HY142" s="14"/>
      <c r="HZ142" s="56"/>
      <c r="IA142" s="14"/>
      <c r="IB142" s="57"/>
      <c r="IC142" s="52"/>
      <c r="ID142" s="53"/>
      <c r="IG142" s="55"/>
      <c r="IH142" s="14"/>
      <c r="II142" s="56"/>
      <c r="IJ142" s="14"/>
      <c r="IK142" s="57"/>
      <c r="IL142" s="52"/>
      <c r="IM142" s="53"/>
      <c r="IP142" s="55"/>
      <c r="IQ142" s="14"/>
      <c r="IR142" s="56"/>
      <c r="IS142" s="14"/>
      <c r="IT142" s="57"/>
      <c r="IU142" s="52"/>
      <c r="IV142" s="53"/>
    </row>
  </sheetData>
  <sheetProtection selectLockedCells="1" selectUnlockedCells="1"/>
  <mergeCells count="270">
    <mergeCell ref="A141:G142"/>
    <mergeCell ref="H141:H142"/>
    <mergeCell ref="I141:I142"/>
    <mergeCell ref="B138:C138"/>
    <mergeCell ref="D138:G138"/>
    <mergeCell ref="D139:G139"/>
    <mergeCell ref="B140:C140"/>
    <mergeCell ref="D140:G140"/>
    <mergeCell ref="B136:C136"/>
    <mergeCell ref="D136:G136"/>
    <mergeCell ref="B137:C137"/>
    <mergeCell ref="D137:G137"/>
    <mergeCell ref="B134:C134"/>
    <mergeCell ref="D134:G134"/>
    <mergeCell ref="B135:C135"/>
    <mergeCell ref="D135:G135"/>
    <mergeCell ref="B131:C131"/>
    <mergeCell ref="D131:G131"/>
    <mergeCell ref="D132:G132"/>
    <mergeCell ref="B133:C133"/>
    <mergeCell ref="D133:G133"/>
    <mergeCell ref="D128:G128"/>
    <mergeCell ref="B129:C129"/>
    <mergeCell ref="D129:G129"/>
    <mergeCell ref="B130:C130"/>
    <mergeCell ref="D130:G130"/>
    <mergeCell ref="B126:C126"/>
    <mergeCell ref="D126:G126"/>
    <mergeCell ref="B127:C127"/>
    <mergeCell ref="D127:G127"/>
    <mergeCell ref="B123:C123"/>
    <mergeCell ref="D123:G123"/>
    <mergeCell ref="D124:G124"/>
    <mergeCell ref="B125:C125"/>
    <mergeCell ref="D125:G125"/>
    <mergeCell ref="D120:G120"/>
    <mergeCell ref="B121:C121"/>
    <mergeCell ref="D121:G121"/>
    <mergeCell ref="B122:C122"/>
    <mergeCell ref="D122:G122"/>
    <mergeCell ref="B118:C118"/>
    <mergeCell ref="D118:G118"/>
    <mergeCell ref="B119:C119"/>
    <mergeCell ref="D119:G119"/>
    <mergeCell ref="B115:C115"/>
    <mergeCell ref="D115:G115"/>
    <mergeCell ref="D116:G116"/>
    <mergeCell ref="B117:C117"/>
    <mergeCell ref="D117:G117"/>
    <mergeCell ref="D112:G112"/>
    <mergeCell ref="B113:C113"/>
    <mergeCell ref="D113:G113"/>
    <mergeCell ref="B114:C114"/>
    <mergeCell ref="D114:G114"/>
    <mergeCell ref="B110:C110"/>
    <mergeCell ref="D110:G110"/>
    <mergeCell ref="B111:C111"/>
    <mergeCell ref="D111:G111"/>
    <mergeCell ref="B107:C107"/>
    <mergeCell ref="D107:G107"/>
    <mergeCell ref="D108:G108"/>
    <mergeCell ref="B109:C109"/>
    <mergeCell ref="D109:G109"/>
    <mergeCell ref="B105:C105"/>
    <mergeCell ref="D105:G105"/>
    <mergeCell ref="B106:C106"/>
    <mergeCell ref="D106:G106"/>
    <mergeCell ref="B102:C102"/>
    <mergeCell ref="D102:G102"/>
    <mergeCell ref="D103:G103"/>
    <mergeCell ref="B104:C104"/>
    <mergeCell ref="D104:G104"/>
    <mergeCell ref="B100:C100"/>
    <mergeCell ref="D100:G100"/>
    <mergeCell ref="B101:C101"/>
    <mergeCell ref="D101:G101"/>
    <mergeCell ref="D97:G97"/>
    <mergeCell ref="B98:C98"/>
    <mergeCell ref="D98:G98"/>
    <mergeCell ref="B99:C99"/>
    <mergeCell ref="D99:G99"/>
    <mergeCell ref="B95:C95"/>
    <mergeCell ref="D95:G95"/>
    <mergeCell ref="B96:C96"/>
    <mergeCell ref="D96:G96"/>
    <mergeCell ref="B93:C93"/>
    <mergeCell ref="D93:G93"/>
    <mergeCell ref="B94:C94"/>
    <mergeCell ref="D94:G94"/>
    <mergeCell ref="B90:C90"/>
    <mergeCell ref="D90:G90"/>
    <mergeCell ref="D91:G91"/>
    <mergeCell ref="D92:G92"/>
    <mergeCell ref="B88:C88"/>
    <mergeCell ref="D88:G88"/>
    <mergeCell ref="B89:C89"/>
    <mergeCell ref="D89:G89"/>
    <mergeCell ref="B86:C86"/>
    <mergeCell ref="D86:G86"/>
    <mergeCell ref="B87:C87"/>
    <mergeCell ref="D87:G87"/>
    <mergeCell ref="B84:C84"/>
    <mergeCell ref="D84:G84"/>
    <mergeCell ref="B85:C85"/>
    <mergeCell ref="D85:G85"/>
    <mergeCell ref="B82:C82"/>
    <mergeCell ref="D82:G82"/>
    <mergeCell ref="B83:C83"/>
    <mergeCell ref="D83:G83"/>
    <mergeCell ref="B80:C80"/>
    <mergeCell ref="D80:G80"/>
    <mergeCell ref="B81:C81"/>
    <mergeCell ref="D81:G81"/>
    <mergeCell ref="B78:C78"/>
    <mergeCell ref="D78:G78"/>
    <mergeCell ref="B79:C79"/>
    <mergeCell ref="D79:G79"/>
    <mergeCell ref="B76:C76"/>
    <mergeCell ref="D76:G76"/>
    <mergeCell ref="B77:C77"/>
    <mergeCell ref="D77:G77"/>
    <mergeCell ref="B74:C74"/>
    <mergeCell ref="D74:G74"/>
    <mergeCell ref="B75:C75"/>
    <mergeCell ref="D75:G75"/>
    <mergeCell ref="B72:C72"/>
    <mergeCell ref="D72:G72"/>
    <mergeCell ref="B73:C73"/>
    <mergeCell ref="D73:G73"/>
    <mergeCell ref="B70:C70"/>
    <mergeCell ref="D70:G70"/>
    <mergeCell ref="B71:C71"/>
    <mergeCell ref="D71:G71"/>
    <mergeCell ref="B68:C68"/>
    <mergeCell ref="D68:G68"/>
    <mergeCell ref="B69:C69"/>
    <mergeCell ref="D69:G69"/>
    <mergeCell ref="B66:C66"/>
    <mergeCell ref="D66:G66"/>
    <mergeCell ref="B67:C67"/>
    <mergeCell ref="D67:G67"/>
    <mergeCell ref="B64:C64"/>
    <mergeCell ref="D64:G64"/>
    <mergeCell ref="B65:C65"/>
    <mergeCell ref="D65:G65"/>
    <mergeCell ref="B62:C62"/>
    <mergeCell ref="D62:G62"/>
    <mergeCell ref="B63:C63"/>
    <mergeCell ref="D63:G63"/>
    <mergeCell ref="B60:C60"/>
    <mergeCell ref="D60:G60"/>
    <mergeCell ref="B61:C61"/>
    <mergeCell ref="D61:G61"/>
    <mergeCell ref="B58:C58"/>
    <mergeCell ref="D58:G58"/>
    <mergeCell ref="B59:C59"/>
    <mergeCell ref="D59:G59"/>
    <mergeCell ref="B56:C56"/>
    <mergeCell ref="D56:G56"/>
    <mergeCell ref="B57:C57"/>
    <mergeCell ref="D57:G57"/>
    <mergeCell ref="B54:C54"/>
    <mergeCell ref="D54:G54"/>
    <mergeCell ref="B55:C55"/>
    <mergeCell ref="D55:G55"/>
    <mergeCell ref="B52:C52"/>
    <mergeCell ref="D52:G52"/>
    <mergeCell ref="B53:C53"/>
    <mergeCell ref="D53:G53"/>
    <mergeCell ref="B50:C50"/>
    <mergeCell ref="D50:G50"/>
    <mergeCell ref="B51:C51"/>
    <mergeCell ref="D51:G51"/>
    <mergeCell ref="K47:K49"/>
    <mergeCell ref="B48:C48"/>
    <mergeCell ref="D48:G48"/>
    <mergeCell ref="B49:C49"/>
    <mergeCell ref="D49:G49"/>
    <mergeCell ref="B46:C46"/>
    <mergeCell ref="D46:G46"/>
    <mergeCell ref="B47:C47"/>
    <mergeCell ref="D47:G47"/>
    <mergeCell ref="B44:C44"/>
    <mergeCell ref="D44:G44"/>
    <mergeCell ref="B45:C45"/>
    <mergeCell ref="D45:G45"/>
    <mergeCell ref="B42:C42"/>
    <mergeCell ref="D42:G42"/>
    <mergeCell ref="B43:C43"/>
    <mergeCell ref="D43:G43"/>
    <mergeCell ref="B40:C40"/>
    <mergeCell ref="D40:G40"/>
    <mergeCell ref="B41:C41"/>
    <mergeCell ref="D41:G41"/>
    <mergeCell ref="B38:C38"/>
    <mergeCell ref="D38:G38"/>
    <mergeCell ref="B39:C39"/>
    <mergeCell ref="D39:G39"/>
    <mergeCell ref="K35:K37"/>
    <mergeCell ref="B36:C36"/>
    <mergeCell ref="D36:G36"/>
    <mergeCell ref="B37:C37"/>
    <mergeCell ref="D37:G37"/>
    <mergeCell ref="B34:C34"/>
    <mergeCell ref="D34:G34"/>
    <mergeCell ref="B35:C35"/>
    <mergeCell ref="D35:G35"/>
    <mergeCell ref="B32:C32"/>
    <mergeCell ref="D32:G32"/>
    <mergeCell ref="B33:C33"/>
    <mergeCell ref="D33:G33"/>
    <mergeCell ref="B30:C30"/>
    <mergeCell ref="D30:G30"/>
    <mergeCell ref="B31:C31"/>
    <mergeCell ref="D31:G31"/>
    <mergeCell ref="B28:C28"/>
    <mergeCell ref="D28:G28"/>
    <mergeCell ref="B29:C29"/>
    <mergeCell ref="D29:G29"/>
    <mergeCell ref="B26:C26"/>
    <mergeCell ref="D26:G26"/>
    <mergeCell ref="B27:C27"/>
    <mergeCell ref="D27:G27"/>
    <mergeCell ref="B24:C24"/>
    <mergeCell ref="D24:G24"/>
    <mergeCell ref="B25:C25"/>
    <mergeCell ref="D25:G25"/>
    <mergeCell ref="B22:C22"/>
    <mergeCell ref="D22:G22"/>
    <mergeCell ref="B23:C23"/>
    <mergeCell ref="D23:G23"/>
    <mergeCell ref="B20:C20"/>
    <mergeCell ref="D20:G20"/>
    <mergeCell ref="B21:C21"/>
    <mergeCell ref="D21:G21"/>
    <mergeCell ref="B18:C18"/>
    <mergeCell ref="D18:G18"/>
    <mergeCell ref="B19:C19"/>
    <mergeCell ref="D19:G19"/>
    <mergeCell ref="B16:C16"/>
    <mergeCell ref="D16:G16"/>
    <mergeCell ref="B17:C17"/>
    <mergeCell ref="D17:G17"/>
    <mergeCell ref="B14:C14"/>
    <mergeCell ref="D14:G14"/>
    <mergeCell ref="B15:C15"/>
    <mergeCell ref="D15:G15"/>
    <mergeCell ref="B12:C12"/>
    <mergeCell ref="D12:G12"/>
    <mergeCell ref="B13:C13"/>
    <mergeCell ref="D13:G13"/>
    <mergeCell ref="B10:C10"/>
    <mergeCell ref="D10:G10"/>
    <mergeCell ref="B11:C11"/>
    <mergeCell ref="D11:G11"/>
    <mergeCell ref="K7:K8"/>
    <mergeCell ref="B8:C8"/>
    <mergeCell ref="D8:G8"/>
    <mergeCell ref="B9:C9"/>
    <mergeCell ref="D9:G9"/>
    <mergeCell ref="B6:C6"/>
    <mergeCell ref="D6:G6"/>
    <mergeCell ref="B7:C7"/>
    <mergeCell ref="D7:G7"/>
    <mergeCell ref="A1:I1"/>
    <mergeCell ref="A2:A5"/>
    <mergeCell ref="B2:C5"/>
    <mergeCell ref="D2:G5"/>
    <mergeCell ref="H2:H5"/>
    <mergeCell ref="I2:I5"/>
  </mergeCells>
  <dataValidations count="2">
    <dataValidation allowBlank="1" showInputMessage="1" showErrorMessage="1" promptTitle="INCLUI:" prompt="preparo do terreno, escavações/aterro/reaterro/compactação de solos e esgotamentos" sqref="D12 D44">
      <formula1>0</formula1>
      <formula2>0</formula2>
    </dataValidation>
    <dataValidation allowBlank="1" showInputMessage="1" showErrorMessage="1" promptTitle="INCLUI:" sqref="D25:D30 D33:D40 D48:D55">
      <formula1>0</formula1>
      <formula2>0</formula2>
    </dataValidation>
  </dataValidations>
  <printOptions horizontalCentered="1" verticalCentered="1"/>
  <pageMargins left="0.2362204724409449" right="0.2362204724409449" top="0.7480314960629921" bottom="0.7480314960629921" header="0.5118110236220472" footer="0.5118110236220472"/>
  <pageSetup horizontalDpi="300" verticalDpi="300" orientation="portrait" paperSize="8" scale="57" r:id="rId1"/>
  <headerFooter alignWithMargins="0">
    <oddFooter>&amp;RIA/ENG/0076-001</oddFooter>
  </headerFooter>
  <rowBreaks count="1" manualBreakCount="1">
    <brk id="5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5"/>
  <sheetViews>
    <sheetView tabSelected="1" view="pageBreakPreview" zoomScale="90" zoomScaleNormal="85" zoomScaleSheetLayoutView="90" zoomScalePageLayoutView="0" workbookViewId="0" topLeftCell="A1">
      <selection activeCell="A1" sqref="A1:I1"/>
    </sheetView>
  </sheetViews>
  <sheetFormatPr defaultColWidth="9.140625" defaultRowHeight="15" customHeight="1"/>
  <cols>
    <col min="1" max="1" width="5.57421875" style="58" customWidth="1"/>
    <col min="2" max="2" width="9.140625" style="2" customWidth="1"/>
    <col min="3" max="3" width="17.28125" style="2" customWidth="1"/>
    <col min="4" max="6" width="9.140625" style="2" customWidth="1"/>
    <col min="7" max="7" width="12.7109375" style="2" customWidth="1"/>
    <col min="8" max="8" width="20.140625" style="2" customWidth="1"/>
    <col min="9" max="9" width="17.421875" style="2" customWidth="1"/>
    <col min="10" max="10" width="16.140625" style="6" customWidth="1"/>
    <col min="11" max="12" width="9.140625" style="6" customWidth="1"/>
    <col min="13" max="16384" width="9.140625" style="2" customWidth="1"/>
  </cols>
  <sheetData>
    <row r="1" spans="1:9" ht="1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spans="1:9" ht="15" customHeight="1">
      <c r="A2" s="168" t="s">
        <v>1</v>
      </c>
      <c r="B2" s="168" t="s">
        <v>2</v>
      </c>
      <c r="C2" s="168"/>
      <c r="D2" s="168" t="s">
        <v>3</v>
      </c>
      <c r="E2" s="168"/>
      <c r="F2" s="168"/>
      <c r="G2" s="168"/>
      <c r="H2" s="169" t="s">
        <v>4</v>
      </c>
      <c r="I2" s="168" t="s">
        <v>5</v>
      </c>
    </row>
    <row r="3" spans="1:9" ht="15" customHeight="1">
      <c r="A3" s="168"/>
      <c r="B3" s="168"/>
      <c r="C3" s="168"/>
      <c r="D3" s="168"/>
      <c r="E3" s="168"/>
      <c r="F3" s="168"/>
      <c r="G3" s="168"/>
      <c r="H3" s="169"/>
      <c r="I3" s="168"/>
    </row>
    <row r="4" spans="1:9" ht="15" customHeight="1">
      <c r="A4" s="168"/>
      <c r="B4" s="168"/>
      <c r="C4" s="168"/>
      <c r="D4" s="168"/>
      <c r="E4" s="168"/>
      <c r="F4" s="168"/>
      <c r="G4" s="168"/>
      <c r="H4" s="169"/>
      <c r="I4" s="168"/>
    </row>
    <row r="5" spans="1:10" ht="15" customHeight="1">
      <c r="A5" s="168"/>
      <c r="B5" s="168"/>
      <c r="C5" s="168"/>
      <c r="D5" s="168"/>
      <c r="E5" s="168"/>
      <c r="F5" s="168"/>
      <c r="G5" s="168"/>
      <c r="H5" s="169"/>
      <c r="I5" s="168"/>
      <c r="J5" s="59">
        <v>3872585.29</v>
      </c>
    </row>
    <row r="6" spans="1:10" ht="15" customHeight="1">
      <c r="A6" s="35">
        <v>1</v>
      </c>
      <c r="B6" s="148" t="s">
        <v>199</v>
      </c>
      <c r="C6" s="148"/>
      <c r="D6" s="134" t="s">
        <v>7</v>
      </c>
      <c r="E6" s="134"/>
      <c r="F6" s="134"/>
      <c r="G6" s="134"/>
      <c r="H6" s="81">
        <v>0.015</v>
      </c>
      <c r="I6" s="77" t="s">
        <v>17</v>
      </c>
      <c r="J6" s="60">
        <v>28160.18</v>
      </c>
    </row>
    <row r="7" spans="1:10" ht="15" customHeight="1">
      <c r="A7" s="18" t="s">
        <v>9</v>
      </c>
      <c r="B7" s="82"/>
      <c r="C7" s="83"/>
      <c r="D7" s="138" t="s">
        <v>10</v>
      </c>
      <c r="E7" s="138"/>
      <c r="F7" s="138"/>
      <c r="G7" s="138"/>
      <c r="H7" s="76" t="s">
        <v>200</v>
      </c>
      <c r="I7" s="84">
        <v>0.8</v>
      </c>
      <c r="J7" s="6">
        <f>6136.53*0.8</f>
        <v>4909.224</v>
      </c>
    </row>
    <row r="8" spans="1:10" ht="27" customHeight="1">
      <c r="A8" s="18" t="s">
        <v>201</v>
      </c>
      <c r="B8" s="85"/>
      <c r="C8" s="86"/>
      <c r="D8" s="171" t="s">
        <v>202</v>
      </c>
      <c r="E8" s="171"/>
      <c r="F8" s="171"/>
      <c r="G8" s="171"/>
      <c r="H8" s="76" t="s">
        <v>200</v>
      </c>
      <c r="I8" s="84">
        <v>0.2</v>
      </c>
      <c r="J8" s="6">
        <f>4076*0.2</f>
        <v>815.2</v>
      </c>
    </row>
    <row r="9" spans="1:9" ht="15" customHeight="1">
      <c r="A9" s="14"/>
      <c r="B9" s="82"/>
      <c r="C9" s="83"/>
      <c r="D9" s="87"/>
      <c r="E9" s="88"/>
      <c r="F9" s="88"/>
      <c r="G9" s="89" t="s">
        <v>57</v>
      </c>
      <c r="H9" s="76" t="s">
        <v>200</v>
      </c>
      <c r="I9" s="90">
        <f>SUM(I7:I8)</f>
        <v>1</v>
      </c>
    </row>
    <row r="10" spans="1:10" ht="15" customHeight="1">
      <c r="A10" s="61">
        <v>2</v>
      </c>
      <c r="B10" s="170" t="s">
        <v>203</v>
      </c>
      <c r="C10" s="170"/>
      <c r="D10" s="134" t="s">
        <v>7</v>
      </c>
      <c r="E10" s="134"/>
      <c r="F10" s="134"/>
      <c r="G10" s="134"/>
      <c r="H10" s="81">
        <v>0.44</v>
      </c>
      <c r="I10" s="77" t="s">
        <v>17</v>
      </c>
      <c r="J10" s="60">
        <f>717721.11+469049.2</f>
        <v>1186770.31</v>
      </c>
    </row>
    <row r="11" spans="1:10" ht="27" customHeight="1">
      <c r="A11" s="18" t="s">
        <v>18</v>
      </c>
      <c r="B11" s="82"/>
      <c r="C11" s="83"/>
      <c r="D11" s="171" t="s">
        <v>204</v>
      </c>
      <c r="E11" s="171"/>
      <c r="F11" s="171"/>
      <c r="G11" s="171"/>
      <c r="H11" s="76" t="s">
        <v>200</v>
      </c>
      <c r="I11" s="84">
        <v>0.93</v>
      </c>
      <c r="J11" s="6">
        <v>1170756.22</v>
      </c>
    </row>
    <row r="12" spans="1:10" ht="27.75" customHeight="1">
      <c r="A12" s="18" t="s">
        <v>20</v>
      </c>
      <c r="B12" s="82"/>
      <c r="C12" s="83"/>
      <c r="D12" s="171" t="s">
        <v>205</v>
      </c>
      <c r="E12" s="171"/>
      <c r="F12" s="171"/>
      <c r="G12" s="171"/>
      <c r="H12" s="76" t="s">
        <v>200</v>
      </c>
      <c r="I12" s="84">
        <v>0.07</v>
      </c>
      <c r="J12" s="6">
        <v>16014.09</v>
      </c>
    </row>
    <row r="13" spans="1:9" ht="15" customHeight="1">
      <c r="A13" s="18"/>
      <c r="B13" s="82"/>
      <c r="C13" s="83"/>
      <c r="D13" s="87"/>
      <c r="E13" s="88"/>
      <c r="F13" s="88"/>
      <c r="G13" s="89" t="s">
        <v>57</v>
      </c>
      <c r="H13" s="76" t="s">
        <v>200</v>
      </c>
      <c r="I13" s="90">
        <f>SUM(I11:I12)</f>
        <v>1</v>
      </c>
    </row>
    <row r="14" spans="1:10" ht="25.5" customHeight="1">
      <c r="A14" s="35">
        <v>3</v>
      </c>
      <c r="B14" s="148" t="s">
        <v>206</v>
      </c>
      <c r="C14" s="148"/>
      <c r="D14" s="134" t="s">
        <v>7</v>
      </c>
      <c r="E14" s="134"/>
      <c r="F14" s="134"/>
      <c r="G14" s="134"/>
      <c r="H14" s="81">
        <v>0.09</v>
      </c>
      <c r="I14" s="77" t="s">
        <v>17</v>
      </c>
      <c r="J14" s="60">
        <f>278844.66+182444.81</f>
        <v>461289.47</v>
      </c>
    </row>
    <row r="15" spans="1:12" s="34" customFormat="1" ht="27" customHeight="1">
      <c r="A15" s="62" t="s">
        <v>58</v>
      </c>
      <c r="B15" s="91"/>
      <c r="C15" s="92"/>
      <c r="D15" s="173" t="s">
        <v>207</v>
      </c>
      <c r="E15" s="173"/>
      <c r="F15" s="173"/>
      <c r="G15" s="173"/>
      <c r="H15" s="93" t="s">
        <v>200</v>
      </c>
      <c r="I15" s="94">
        <v>0.3</v>
      </c>
      <c r="J15" s="6">
        <f>18966.61+49608.73</f>
        <v>68575.34</v>
      </c>
      <c r="K15" s="33"/>
      <c r="L15" s="33"/>
    </row>
    <row r="16" spans="1:12" s="34" customFormat="1" ht="27" customHeight="1">
      <c r="A16" s="18" t="s">
        <v>59</v>
      </c>
      <c r="B16" s="95"/>
      <c r="C16" s="96"/>
      <c r="D16" s="171" t="s">
        <v>208</v>
      </c>
      <c r="E16" s="171"/>
      <c r="F16" s="171"/>
      <c r="G16" s="171"/>
      <c r="H16" s="76" t="s">
        <v>200</v>
      </c>
      <c r="I16" s="84">
        <v>0.7</v>
      </c>
      <c r="J16" s="6">
        <f>40924.73+71051.82</f>
        <v>111976.55000000002</v>
      </c>
      <c r="K16" s="33"/>
      <c r="L16" s="33"/>
    </row>
    <row r="17" spans="1:12" s="34" customFormat="1" ht="15" customHeight="1">
      <c r="A17" s="14"/>
      <c r="B17" s="82"/>
      <c r="C17" s="83"/>
      <c r="D17" s="87"/>
      <c r="E17" s="88"/>
      <c r="F17" s="88"/>
      <c r="G17" s="89" t="s">
        <v>57</v>
      </c>
      <c r="H17" s="76" t="s">
        <v>200</v>
      </c>
      <c r="I17" s="90">
        <f>SUM(I15:I16)</f>
        <v>1</v>
      </c>
      <c r="J17" s="6"/>
      <c r="K17" s="33"/>
      <c r="L17" s="33"/>
    </row>
    <row r="18" spans="1:10" ht="15" customHeight="1">
      <c r="A18" s="61">
        <v>4</v>
      </c>
      <c r="B18" s="170" t="s">
        <v>209</v>
      </c>
      <c r="C18" s="170"/>
      <c r="D18" s="172" t="s">
        <v>7</v>
      </c>
      <c r="E18" s="172"/>
      <c r="F18" s="172"/>
      <c r="G18" s="172"/>
      <c r="H18" s="81">
        <v>0.03</v>
      </c>
      <c r="I18" s="77" t="s">
        <v>17</v>
      </c>
      <c r="J18" s="60">
        <f>76252.46+56985.09</f>
        <v>133237.55</v>
      </c>
    </row>
    <row r="19" spans="1:10" ht="15" customHeight="1">
      <c r="A19" s="18" t="s">
        <v>71</v>
      </c>
      <c r="B19" s="82"/>
      <c r="C19" s="83"/>
      <c r="D19" s="138" t="s">
        <v>210</v>
      </c>
      <c r="E19" s="138"/>
      <c r="F19" s="138"/>
      <c r="G19" s="138"/>
      <c r="H19" s="76" t="s">
        <v>200</v>
      </c>
      <c r="I19" s="84">
        <f aca="true" t="shared" si="0" ref="I19:I29">J19/$J$18</f>
        <v>0.00894297440924124</v>
      </c>
      <c r="J19" s="6">
        <v>1191.54</v>
      </c>
    </row>
    <row r="20" spans="1:10" ht="15" customHeight="1">
      <c r="A20" s="18" t="s">
        <v>72</v>
      </c>
      <c r="B20" s="82"/>
      <c r="C20" s="83"/>
      <c r="D20" s="171" t="s">
        <v>211</v>
      </c>
      <c r="E20" s="171"/>
      <c r="F20" s="171"/>
      <c r="G20" s="171"/>
      <c r="H20" s="76" t="s">
        <v>200</v>
      </c>
      <c r="I20" s="84">
        <f t="shared" si="0"/>
        <v>0.0159306441765103</v>
      </c>
      <c r="J20" s="6">
        <v>2122.56</v>
      </c>
    </row>
    <row r="21" spans="1:10" ht="15" customHeight="1">
      <c r="A21" s="18" t="s">
        <v>74</v>
      </c>
      <c r="B21" s="82"/>
      <c r="C21" s="83"/>
      <c r="D21" s="174" t="s">
        <v>212</v>
      </c>
      <c r="E21" s="174"/>
      <c r="F21" s="174"/>
      <c r="G21" s="174"/>
      <c r="H21" s="77" t="s">
        <v>200</v>
      </c>
      <c r="I21" s="84">
        <f t="shared" si="0"/>
        <v>0.2821281988448452</v>
      </c>
      <c r="J21" s="6">
        <v>37590.07</v>
      </c>
    </row>
    <row r="22" spans="1:10" ht="15" customHeight="1">
      <c r="A22" s="18" t="s">
        <v>75</v>
      </c>
      <c r="B22" s="82"/>
      <c r="C22" s="83"/>
      <c r="D22" s="138" t="s">
        <v>213</v>
      </c>
      <c r="E22" s="138"/>
      <c r="F22" s="138"/>
      <c r="G22" s="138"/>
      <c r="H22" s="76" t="s">
        <v>200</v>
      </c>
      <c r="I22" s="84">
        <f t="shared" si="0"/>
        <v>0.003490007133874798</v>
      </c>
      <c r="J22" s="6">
        <v>465</v>
      </c>
    </row>
    <row r="23" spans="1:10" ht="15" customHeight="1">
      <c r="A23" s="18" t="s">
        <v>76</v>
      </c>
      <c r="B23" s="82"/>
      <c r="C23" s="83"/>
      <c r="D23" s="138" t="s">
        <v>214</v>
      </c>
      <c r="E23" s="138"/>
      <c r="F23" s="138"/>
      <c r="G23" s="138"/>
      <c r="H23" s="76" t="s">
        <v>200</v>
      </c>
      <c r="I23" s="84">
        <f t="shared" si="0"/>
        <v>0.013102387427568281</v>
      </c>
      <c r="J23" s="6">
        <v>1745.73</v>
      </c>
    </row>
    <row r="24" spans="1:10" ht="27" customHeight="1">
      <c r="A24" s="18" t="s">
        <v>77</v>
      </c>
      <c r="B24" s="82"/>
      <c r="C24" s="83"/>
      <c r="D24" s="171" t="s">
        <v>215</v>
      </c>
      <c r="E24" s="171"/>
      <c r="F24" s="171"/>
      <c r="G24" s="171"/>
      <c r="H24" s="76" t="s">
        <v>200</v>
      </c>
      <c r="I24" s="84">
        <f t="shared" si="0"/>
        <v>0.09022681668943928</v>
      </c>
      <c r="J24" s="6">
        <v>12021.6</v>
      </c>
    </row>
    <row r="25" spans="1:10" ht="15" customHeight="1">
      <c r="A25" s="18" t="s">
        <v>78</v>
      </c>
      <c r="B25" s="82"/>
      <c r="C25" s="83"/>
      <c r="D25" s="138" t="s">
        <v>216</v>
      </c>
      <c r="E25" s="138"/>
      <c r="F25" s="138"/>
      <c r="G25" s="138"/>
      <c r="H25" s="76" t="s">
        <v>200</v>
      </c>
      <c r="I25" s="84">
        <f t="shared" si="0"/>
        <v>0.0036958049738981245</v>
      </c>
      <c r="J25" s="6">
        <v>492.42</v>
      </c>
    </row>
    <row r="26" spans="1:10" ht="15" customHeight="1">
      <c r="A26" s="18" t="s">
        <v>80</v>
      </c>
      <c r="B26" s="82"/>
      <c r="C26" s="83"/>
      <c r="D26" s="138" t="s">
        <v>217</v>
      </c>
      <c r="E26" s="138"/>
      <c r="F26" s="138"/>
      <c r="G26" s="138"/>
      <c r="H26" s="76" t="s">
        <v>200</v>
      </c>
      <c r="I26" s="84">
        <f t="shared" si="0"/>
        <v>0.037176531690953495</v>
      </c>
      <c r="J26" s="6">
        <v>4953.31</v>
      </c>
    </row>
    <row r="27" spans="1:10" ht="15" customHeight="1">
      <c r="A27" s="18" t="s">
        <v>218</v>
      </c>
      <c r="B27" s="82"/>
      <c r="C27" s="83"/>
      <c r="D27" s="138" t="s">
        <v>219</v>
      </c>
      <c r="E27" s="138"/>
      <c r="F27" s="138"/>
      <c r="G27" s="138"/>
      <c r="H27" s="76" t="s">
        <v>200</v>
      </c>
      <c r="I27" s="84">
        <f t="shared" si="0"/>
        <v>0.017358920214308956</v>
      </c>
      <c r="J27" s="6">
        <v>2312.86</v>
      </c>
    </row>
    <row r="28" spans="1:10" ht="15" customHeight="1">
      <c r="A28" s="18" t="s">
        <v>82</v>
      </c>
      <c r="B28" s="82"/>
      <c r="C28" s="83"/>
      <c r="D28" s="138" t="s">
        <v>220</v>
      </c>
      <c r="E28" s="138"/>
      <c r="F28" s="138"/>
      <c r="G28" s="138"/>
      <c r="H28" s="76" t="s">
        <v>200</v>
      </c>
      <c r="I28" s="84">
        <f t="shared" si="0"/>
        <v>0.10023998489915194</v>
      </c>
      <c r="J28" s="6">
        <v>13355.73</v>
      </c>
    </row>
    <row r="29" spans="1:10" ht="15" customHeight="1">
      <c r="A29" s="18" t="s">
        <v>83</v>
      </c>
      <c r="B29" s="82"/>
      <c r="C29" s="83"/>
      <c r="D29" s="171" t="s">
        <v>221</v>
      </c>
      <c r="E29" s="171"/>
      <c r="F29" s="171"/>
      <c r="G29" s="171"/>
      <c r="H29" s="76" t="s">
        <v>200</v>
      </c>
      <c r="I29" s="84">
        <f t="shared" si="0"/>
        <v>0.42769542069784383</v>
      </c>
      <c r="J29" s="6">
        <v>56985.09</v>
      </c>
    </row>
    <row r="30" spans="1:9" ht="15" customHeight="1">
      <c r="A30" s="14"/>
      <c r="B30" s="82"/>
      <c r="C30" s="83"/>
      <c r="D30" s="87"/>
      <c r="E30" s="88"/>
      <c r="F30" s="88"/>
      <c r="G30" s="89" t="s">
        <v>57</v>
      </c>
      <c r="H30" s="76" t="s">
        <v>200</v>
      </c>
      <c r="I30" s="90">
        <f>SUM(I19:I29)</f>
        <v>0.9999876911576354</v>
      </c>
    </row>
    <row r="31" spans="1:10" ht="23.25" customHeight="1">
      <c r="A31" s="61">
        <v>5</v>
      </c>
      <c r="B31" s="170" t="s">
        <v>222</v>
      </c>
      <c r="C31" s="170"/>
      <c r="D31" s="172" t="s">
        <v>223</v>
      </c>
      <c r="E31" s="172"/>
      <c r="F31" s="172"/>
      <c r="G31" s="172"/>
      <c r="H31" s="97">
        <v>0.02</v>
      </c>
      <c r="I31" s="98">
        <v>1</v>
      </c>
      <c r="J31" s="60">
        <f>35517.19+21393.03</f>
        <v>56910.22</v>
      </c>
    </row>
    <row r="32" spans="1:10" ht="27" customHeight="1">
      <c r="A32" s="61">
        <v>6</v>
      </c>
      <c r="B32" s="175" t="s">
        <v>224</v>
      </c>
      <c r="C32" s="175"/>
      <c r="D32" s="172" t="s">
        <v>7</v>
      </c>
      <c r="E32" s="172"/>
      <c r="F32" s="172"/>
      <c r="G32" s="172"/>
      <c r="H32" s="81">
        <v>0.0558</v>
      </c>
      <c r="I32" s="77" t="s">
        <v>17</v>
      </c>
      <c r="J32" s="60">
        <f>33491.37+74471.25</f>
        <v>107962.62</v>
      </c>
    </row>
    <row r="33" spans="1:10" ht="15" customHeight="1">
      <c r="A33" s="18" t="s">
        <v>225</v>
      </c>
      <c r="B33" s="82"/>
      <c r="C33" s="83"/>
      <c r="D33" s="138" t="s">
        <v>210</v>
      </c>
      <c r="E33" s="138"/>
      <c r="F33" s="138"/>
      <c r="G33" s="138"/>
      <c r="H33" s="77" t="s">
        <v>200</v>
      </c>
      <c r="I33" s="84">
        <f aca="true" t="shared" si="1" ref="I33:I42">J33/$J$32</f>
        <v>0.008689489010177782</v>
      </c>
      <c r="J33" s="6">
        <v>938.14</v>
      </c>
    </row>
    <row r="34" spans="1:10" ht="15" customHeight="1">
      <c r="A34" s="18" t="s">
        <v>226</v>
      </c>
      <c r="B34" s="82"/>
      <c r="C34" s="83"/>
      <c r="D34" s="171" t="s">
        <v>211</v>
      </c>
      <c r="E34" s="171"/>
      <c r="F34" s="171"/>
      <c r="G34" s="171"/>
      <c r="H34" s="77" t="s">
        <v>200</v>
      </c>
      <c r="I34" s="84">
        <f t="shared" si="1"/>
        <v>0.09419417572489443</v>
      </c>
      <c r="J34" s="6">
        <v>10169.45</v>
      </c>
    </row>
    <row r="35" spans="1:10" ht="15" customHeight="1">
      <c r="A35" s="18" t="s">
        <v>227</v>
      </c>
      <c r="B35" s="82"/>
      <c r="C35" s="83"/>
      <c r="D35" s="174" t="s">
        <v>212</v>
      </c>
      <c r="E35" s="174"/>
      <c r="F35" s="174"/>
      <c r="G35" s="174"/>
      <c r="H35" s="77" t="s">
        <v>200</v>
      </c>
      <c r="I35" s="84">
        <f t="shared" si="1"/>
        <v>0.08414375271737569</v>
      </c>
      <c r="J35" s="6">
        <v>9084.38</v>
      </c>
    </row>
    <row r="36" spans="1:13" ht="15" customHeight="1">
      <c r="A36" s="18" t="s">
        <v>228</v>
      </c>
      <c r="B36" s="82"/>
      <c r="C36" s="83"/>
      <c r="D36" s="138" t="s">
        <v>213</v>
      </c>
      <c r="E36" s="138"/>
      <c r="F36" s="138"/>
      <c r="G36" s="138"/>
      <c r="H36" s="77" t="s">
        <v>200</v>
      </c>
      <c r="I36" s="84">
        <f t="shared" si="1"/>
        <v>0.044810324165901125</v>
      </c>
      <c r="J36" s="6">
        <v>4837.84</v>
      </c>
      <c r="M36" s="63">
        <f>H6+H10+H14+H18+H31+H32+H44+H57+H69+H81+H93+H106+H119+H120+H133+H136</f>
        <v>1</v>
      </c>
    </row>
    <row r="37" spans="1:10" ht="15" customHeight="1">
      <c r="A37" s="18" t="s">
        <v>229</v>
      </c>
      <c r="B37" s="82"/>
      <c r="C37" s="83"/>
      <c r="D37" s="138" t="s">
        <v>214</v>
      </c>
      <c r="E37" s="138"/>
      <c r="F37" s="138"/>
      <c r="G37" s="138"/>
      <c r="H37" s="77" t="s">
        <v>200</v>
      </c>
      <c r="I37" s="84">
        <f t="shared" si="1"/>
        <v>0.008338997330742807</v>
      </c>
      <c r="J37" s="6">
        <v>900.3</v>
      </c>
    </row>
    <row r="38" spans="1:10" ht="15" customHeight="1">
      <c r="A38" s="18" t="s">
        <v>230</v>
      </c>
      <c r="B38" s="82"/>
      <c r="C38" s="83"/>
      <c r="D38" s="171" t="s">
        <v>231</v>
      </c>
      <c r="E38" s="171"/>
      <c r="F38" s="171"/>
      <c r="G38" s="171"/>
      <c r="H38" s="77" t="s">
        <v>200</v>
      </c>
      <c r="I38" s="84">
        <f t="shared" si="1"/>
        <v>0.005211248115319914</v>
      </c>
      <c r="J38" s="6">
        <v>562.62</v>
      </c>
    </row>
    <row r="39" spans="1:10" ht="15" customHeight="1">
      <c r="A39" s="18" t="s">
        <v>232</v>
      </c>
      <c r="B39" s="82"/>
      <c r="C39" s="83"/>
      <c r="D39" s="138" t="s">
        <v>217</v>
      </c>
      <c r="E39" s="138"/>
      <c r="F39" s="138"/>
      <c r="G39" s="138"/>
      <c r="H39" s="77" t="s">
        <v>200</v>
      </c>
      <c r="I39" s="84">
        <f t="shared" si="1"/>
        <v>0.020743661093070916</v>
      </c>
      <c r="J39" s="6">
        <v>2239.54</v>
      </c>
    </row>
    <row r="40" spans="1:10" ht="15" customHeight="1">
      <c r="A40" s="18" t="s">
        <v>233</v>
      </c>
      <c r="B40" s="82"/>
      <c r="C40" s="83"/>
      <c r="D40" s="138" t="s">
        <v>219</v>
      </c>
      <c r="E40" s="138"/>
      <c r="F40" s="138"/>
      <c r="G40" s="138"/>
      <c r="H40" s="77" t="s">
        <v>200</v>
      </c>
      <c r="I40" s="84">
        <f t="shared" si="1"/>
        <v>0.017668522679423676</v>
      </c>
      <c r="J40" s="6">
        <v>1907.54</v>
      </c>
    </row>
    <row r="41" spans="1:10" ht="15" customHeight="1">
      <c r="A41" s="18" t="s">
        <v>234</v>
      </c>
      <c r="B41" s="82"/>
      <c r="C41" s="83"/>
      <c r="D41" s="138" t="s">
        <v>220</v>
      </c>
      <c r="E41" s="138"/>
      <c r="F41" s="138"/>
      <c r="G41" s="138"/>
      <c r="H41" s="77" t="s">
        <v>200</v>
      </c>
      <c r="I41" s="84">
        <f t="shared" si="1"/>
        <v>0.026412474984397378</v>
      </c>
      <c r="J41" s="6">
        <v>2851.56</v>
      </c>
    </row>
    <row r="42" spans="1:10" ht="15" customHeight="1">
      <c r="A42" s="18" t="s">
        <v>235</v>
      </c>
      <c r="B42" s="82"/>
      <c r="C42" s="83"/>
      <c r="D42" s="171" t="s">
        <v>221</v>
      </c>
      <c r="E42" s="171"/>
      <c r="F42" s="171"/>
      <c r="G42" s="171"/>
      <c r="H42" s="77" t="s">
        <v>200</v>
      </c>
      <c r="I42" s="84">
        <f t="shared" si="1"/>
        <v>0.6897873541786963</v>
      </c>
      <c r="J42" s="6">
        <v>74471.25</v>
      </c>
    </row>
    <row r="43" spans="1:9" ht="15" customHeight="1">
      <c r="A43" s="14"/>
      <c r="B43" s="82"/>
      <c r="C43" s="83"/>
      <c r="D43" s="82"/>
      <c r="E43" s="99"/>
      <c r="F43" s="99"/>
      <c r="G43" s="100" t="s">
        <v>57</v>
      </c>
      <c r="H43" s="77" t="s">
        <v>200</v>
      </c>
      <c r="I43" s="90">
        <f>SUM(I33:I42)</f>
        <v>1</v>
      </c>
    </row>
    <row r="44" spans="1:10" ht="27" customHeight="1">
      <c r="A44" s="61">
        <v>7</v>
      </c>
      <c r="B44" s="175" t="s">
        <v>236</v>
      </c>
      <c r="C44" s="175"/>
      <c r="D44" s="172" t="s">
        <v>7</v>
      </c>
      <c r="E44" s="172"/>
      <c r="F44" s="172"/>
      <c r="G44" s="172"/>
      <c r="H44" s="81">
        <v>0.1066</v>
      </c>
      <c r="I44" s="77" t="s">
        <v>17</v>
      </c>
      <c r="J44" s="60">
        <f>174322.37+42792.24</f>
        <v>217114.61</v>
      </c>
    </row>
    <row r="45" spans="1:10" ht="15" customHeight="1">
      <c r="A45" s="18" t="s">
        <v>237</v>
      </c>
      <c r="B45" s="82"/>
      <c r="C45" s="83"/>
      <c r="D45" s="138" t="s">
        <v>210</v>
      </c>
      <c r="E45" s="138"/>
      <c r="F45" s="138"/>
      <c r="G45" s="138"/>
      <c r="H45" s="77" t="s">
        <v>200</v>
      </c>
      <c r="I45" s="84">
        <f aca="true" t="shared" si="2" ref="I45:I55">J45/$J$44</f>
        <v>0.014760314840166676</v>
      </c>
      <c r="J45" s="6">
        <v>3204.68</v>
      </c>
    </row>
    <row r="46" spans="1:10" ht="15" customHeight="1">
      <c r="A46" s="18" t="s">
        <v>238</v>
      </c>
      <c r="B46" s="82"/>
      <c r="C46" s="83"/>
      <c r="D46" s="171" t="s">
        <v>211</v>
      </c>
      <c r="E46" s="171"/>
      <c r="F46" s="171"/>
      <c r="G46" s="171"/>
      <c r="H46" s="77" t="s">
        <v>200</v>
      </c>
      <c r="I46" s="84">
        <f t="shared" si="2"/>
        <v>0.10063339357954769</v>
      </c>
      <c r="J46" s="6">
        <v>21848.98</v>
      </c>
    </row>
    <row r="47" spans="1:10" ht="15" customHeight="1">
      <c r="A47" s="18" t="s">
        <v>239</v>
      </c>
      <c r="B47" s="82"/>
      <c r="C47" s="83"/>
      <c r="D47" s="138" t="s">
        <v>240</v>
      </c>
      <c r="E47" s="138"/>
      <c r="F47" s="138"/>
      <c r="G47" s="138"/>
      <c r="H47" s="77" t="s">
        <v>200</v>
      </c>
      <c r="I47" s="84">
        <f t="shared" si="2"/>
        <v>0.0005953077040738991</v>
      </c>
      <c r="J47" s="6">
        <v>129.25</v>
      </c>
    </row>
    <row r="48" spans="1:10" ht="15" customHeight="1">
      <c r="A48" s="18" t="s">
        <v>241</v>
      </c>
      <c r="B48" s="82"/>
      <c r="C48" s="83"/>
      <c r="D48" s="174" t="s">
        <v>212</v>
      </c>
      <c r="E48" s="174"/>
      <c r="F48" s="174"/>
      <c r="G48" s="174"/>
      <c r="H48" s="77" t="s">
        <v>200</v>
      </c>
      <c r="I48" s="84">
        <f t="shared" si="2"/>
        <v>0.4289830150076036</v>
      </c>
      <c r="J48" s="6">
        <v>93138.48</v>
      </c>
    </row>
    <row r="49" spans="1:10" ht="15" customHeight="1">
      <c r="A49" s="18" t="s">
        <v>242</v>
      </c>
      <c r="B49" s="82"/>
      <c r="C49" s="83"/>
      <c r="D49" s="138" t="s">
        <v>213</v>
      </c>
      <c r="E49" s="138"/>
      <c r="F49" s="138"/>
      <c r="G49" s="138"/>
      <c r="H49" s="77" t="s">
        <v>200</v>
      </c>
      <c r="I49" s="84">
        <f t="shared" si="2"/>
        <v>0.014352051204660985</v>
      </c>
      <c r="J49" s="6">
        <v>3116.04</v>
      </c>
    </row>
    <row r="50" spans="1:10" ht="15" customHeight="1">
      <c r="A50" s="18" t="s">
        <v>243</v>
      </c>
      <c r="B50" s="82"/>
      <c r="C50" s="83"/>
      <c r="D50" s="138" t="s">
        <v>214</v>
      </c>
      <c r="E50" s="138"/>
      <c r="F50" s="138"/>
      <c r="G50" s="138"/>
      <c r="H50" s="77" t="s">
        <v>200</v>
      </c>
      <c r="I50" s="84">
        <f t="shared" si="2"/>
        <v>0.002182856326435149</v>
      </c>
      <c r="J50" s="6">
        <v>473.93</v>
      </c>
    </row>
    <row r="51" spans="1:10" ht="15" customHeight="1">
      <c r="A51" s="18" t="s">
        <v>244</v>
      </c>
      <c r="B51" s="82"/>
      <c r="C51" s="83"/>
      <c r="D51" s="171" t="s">
        <v>231</v>
      </c>
      <c r="E51" s="171"/>
      <c r="F51" s="171"/>
      <c r="G51" s="171"/>
      <c r="H51" s="77" t="s">
        <v>200</v>
      </c>
      <c r="I51" s="84">
        <f t="shared" si="2"/>
        <v>0.02646150804867531</v>
      </c>
      <c r="J51" s="6">
        <v>5745.18</v>
      </c>
    </row>
    <row r="52" spans="1:10" ht="15" customHeight="1">
      <c r="A52" s="18" t="s">
        <v>245</v>
      </c>
      <c r="B52" s="82"/>
      <c r="C52" s="83"/>
      <c r="D52" s="138" t="s">
        <v>217</v>
      </c>
      <c r="E52" s="138"/>
      <c r="F52" s="138"/>
      <c r="G52" s="138"/>
      <c r="H52" s="77" t="s">
        <v>200</v>
      </c>
      <c r="I52" s="84">
        <f t="shared" si="2"/>
        <v>0.04248585574227363</v>
      </c>
      <c r="J52" s="6">
        <v>9224.3</v>
      </c>
    </row>
    <row r="53" spans="1:10" ht="15" customHeight="1">
      <c r="A53" s="18" t="s">
        <v>246</v>
      </c>
      <c r="B53" s="82"/>
      <c r="C53" s="83"/>
      <c r="D53" s="138" t="s">
        <v>219</v>
      </c>
      <c r="E53" s="138"/>
      <c r="F53" s="138"/>
      <c r="G53" s="138"/>
      <c r="H53" s="77" t="s">
        <v>200</v>
      </c>
      <c r="I53" s="84">
        <f t="shared" si="2"/>
        <v>0.011577295512264238</v>
      </c>
      <c r="J53" s="6">
        <v>2513.6</v>
      </c>
    </row>
    <row r="54" spans="1:10" ht="15" customHeight="1">
      <c r="A54" s="18" t="s">
        <v>247</v>
      </c>
      <c r="B54" s="82"/>
      <c r="C54" s="83"/>
      <c r="D54" s="138" t="s">
        <v>220</v>
      </c>
      <c r="E54" s="138"/>
      <c r="F54" s="138"/>
      <c r="G54" s="138"/>
      <c r="H54" s="77" t="s">
        <v>200</v>
      </c>
      <c r="I54" s="84">
        <f t="shared" si="2"/>
        <v>0.16087323649016527</v>
      </c>
      <c r="J54" s="6">
        <v>34927.93</v>
      </c>
    </row>
    <row r="55" spans="1:10" ht="15" customHeight="1">
      <c r="A55" s="18" t="s">
        <v>248</v>
      </c>
      <c r="B55" s="82"/>
      <c r="C55" s="83"/>
      <c r="D55" s="171" t="s">
        <v>221</v>
      </c>
      <c r="E55" s="171"/>
      <c r="F55" s="171"/>
      <c r="G55" s="171"/>
      <c r="H55" s="77" t="s">
        <v>200</v>
      </c>
      <c r="I55" s="84">
        <f t="shared" si="2"/>
        <v>0.1970951655441336</v>
      </c>
      <c r="J55" s="6">
        <v>42792.24</v>
      </c>
    </row>
    <row r="56" spans="1:9" ht="15" customHeight="1">
      <c r="A56" s="14"/>
      <c r="B56" s="57"/>
      <c r="C56" s="52"/>
      <c r="D56" s="57"/>
      <c r="E56" s="64"/>
      <c r="F56" s="64"/>
      <c r="G56" s="65" t="s">
        <v>57</v>
      </c>
      <c r="H56" s="18" t="s">
        <v>200</v>
      </c>
      <c r="I56" s="31">
        <f>SUM(I45:I55)</f>
        <v>1</v>
      </c>
    </row>
    <row r="57" spans="1:10" ht="27" customHeight="1">
      <c r="A57" s="61">
        <v>8</v>
      </c>
      <c r="B57" s="175" t="s">
        <v>249</v>
      </c>
      <c r="C57" s="175"/>
      <c r="D57" s="172" t="s">
        <v>7</v>
      </c>
      <c r="E57" s="172"/>
      <c r="F57" s="172"/>
      <c r="G57" s="172"/>
      <c r="H57" s="81">
        <v>0.077</v>
      </c>
      <c r="I57" s="77" t="s">
        <v>17</v>
      </c>
      <c r="J57" s="60">
        <f>142359.76+6641.24</f>
        <v>149001</v>
      </c>
    </row>
    <row r="58" spans="1:10" ht="15" customHeight="1">
      <c r="A58" s="18" t="s">
        <v>250</v>
      </c>
      <c r="B58" s="82"/>
      <c r="C58" s="83"/>
      <c r="D58" s="138" t="s">
        <v>210</v>
      </c>
      <c r="E58" s="138"/>
      <c r="F58" s="138"/>
      <c r="G58" s="138"/>
      <c r="H58" s="77" t="s">
        <v>200</v>
      </c>
      <c r="I58" s="84">
        <f aca="true" t="shared" si="3" ref="I58:I67">J58/$J$57</f>
        <v>0.014142455419762282</v>
      </c>
      <c r="J58" s="6">
        <v>2107.24</v>
      </c>
    </row>
    <row r="59" spans="1:10" ht="15" customHeight="1">
      <c r="A59" s="18" t="s">
        <v>251</v>
      </c>
      <c r="B59" s="82"/>
      <c r="C59" s="83"/>
      <c r="D59" s="171" t="s">
        <v>211</v>
      </c>
      <c r="E59" s="171"/>
      <c r="F59" s="171"/>
      <c r="G59" s="171"/>
      <c r="H59" s="77" t="s">
        <v>200</v>
      </c>
      <c r="I59" s="84">
        <f t="shared" si="3"/>
        <v>0.13132663539170877</v>
      </c>
      <c r="J59" s="6">
        <v>19567.8</v>
      </c>
    </row>
    <row r="60" spans="1:10" ht="15.75" customHeight="1">
      <c r="A60" s="18" t="s">
        <v>252</v>
      </c>
      <c r="B60" s="82"/>
      <c r="C60" s="83"/>
      <c r="D60" s="174" t="s">
        <v>212</v>
      </c>
      <c r="E60" s="174"/>
      <c r="F60" s="174"/>
      <c r="G60" s="174"/>
      <c r="H60" s="77" t="s">
        <v>200</v>
      </c>
      <c r="I60" s="84">
        <f t="shared" si="3"/>
        <v>0.5715556942570855</v>
      </c>
      <c r="J60" s="6">
        <v>85162.37</v>
      </c>
    </row>
    <row r="61" spans="1:10" ht="15" customHeight="1">
      <c r="A61" s="18" t="s">
        <v>253</v>
      </c>
      <c r="B61" s="82"/>
      <c r="C61" s="83"/>
      <c r="D61" s="138" t="s">
        <v>213</v>
      </c>
      <c r="E61" s="138"/>
      <c r="F61" s="138"/>
      <c r="G61" s="138"/>
      <c r="H61" s="77" t="s">
        <v>200</v>
      </c>
      <c r="I61" s="84">
        <f t="shared" si="3"/>
        <v>0.009626781028315247</v>
      </c>
      <c r="J61" s="6">
        <v>1434.4</v>
      </c>
    </row>
    <row r="62" spans="1:10" ht="15" customHeight="1">
      <c r="A62" s="18" t="s">
        <v>254</v>
      </c>
      <c r="B62" s="82"/>
      <c r="C62" s="83"/>
      <c r="D62" s="138" t="s">
        <v>214</v>
      </c>
      <c r="E62" s="138"/>
      <c r="F62" s="138"/>
      <c r="G62" s="138"/>
      <c r="H62" s="77" t="s">
        <v>200</v>
      </c>
      <c r="I62" s="84">
        <f t="shared" si="3"/>
        <v>0.00300152347970819</v>
      </c>
      <c r="J62" s="6">
        <v>447.23</v>
      </c>
    </row>
    <row r="63" spans="1:10" ht="15" customHeight="1">
      <c r="A63" s="18" t="s">
        <v>255</v>
      </c>
      <c r="B63" s="82"/>
      <c r="C63" s="83"/>
      <c r="D63" s="171" t="s">
        <v>231</v>
      </c>
      <c r="E63" s="171"/>
      <c r="F63" s="171"/>
      <c r="G63" s="171"/>
      <c r="H63" s="77" t="s">
        <v>200</v>
      </c>
      <c r="I63" s="84">
        <f t="shared" si="3"/>
        <v>0.007746659418393165</v>
      </c>
      <c r="J63" s="6">
        <v>1154.26</v>
      </c>
    </row>
    <row r="64" spans="1:10" ht="15" customHeight="1">
      <c r="A64" s="18" t="s">
        <v>256</v>
      </c>
      <c r="B64" s="82"/>
      <c r="C64" s="83"/>
      <c r="D64" s="138" t="s">
        <v>217</v>
      </c>
      <c r="E64" s="138"/>
      <c r="F64" s="138"/>
      <c r="G64" s="138"/>
      <c r="H64" s="77" t="s">
        <v>200</v>
      </c>
      <c r="I64" s="84">
        <f t="shared" si="3"/>
        <v>0.025147012436158144</v>
      </c>
      <c r="J64" s="6">
        <v>3746.93</v>
      </c>
    </row>
    <row r="65" spans="1:10" ht="15" customHeight="1">
      <c r="A65" s="18" t="s">
        <v>257</v>
      </c>
      <c r="B65" s="82"/>
      <c r="C65" s="83"/>
      <c r="D65" s="138" t="s">
        <v>219</v>
      </c>
      <c r="E65" s="138"/>
      <c r="F65" s="138"/>
      <c r="G65" s="138"/>
      <c r="H65" s="77" t="s">
        <v>200</v>
      </c>
      <c r="I65" s="84">
        <f t="shared" si="3"/>
        <v>0.02965315669022356</v>
      </c>
      <c r="J65" s="6">
        <v>4418.35</v>
      </c>
    </row>
    <row r="66" spans="1:10" ht="15" customHeight="1">
      <c r="A66" s="18" t="s">
        <v>258</v>
      </c>
      <c r="B66" s="82"/>
      <c r="C66" s="83"/>
      <c r="D66" s="138" t="s">
        <v>220</v>
      </c>
      <c r="E66" s="138"/>
      <c r="F66" s="138"/>
      <c r="G66" s="138"/>
      <c r="H66" s="77" t="s">
        <v>200</v>
      </c>
      <c r="I66" s="84">
        <f t="shared" si="3"/>
        <v>0.16322830048120482</v>
      </c>
      <c r="J66" s="6">
        <v>24321.18</v>
      </c>
    </row>
    <row r="67" spans="1:10" ht="15" customHeight="1">
      <c r="A67" s="18" t="s">
        <v>259</v>
      </c>
      <c r="B67" s="82"/>
      <c r="C67" s="83"/>
      <c r="D67" s="171" t="s">
        <v>221</v>
      </c>
      <c r="E67" s="171"/>
      <c r="F67" s="171"/>
      <c r="G67" s="171"/>
      <c r="H67" s="77" t="s">
        <v>200</v>
      </c>
      <c r="I67" s="84">
        <f t="shared" si="3"/>
        <v>0.04457178139744029</v>
      </c>
      <c r="J67" s="6">
        <v>6641.24</v>
      </c>
    </row>
    <row r="68" spans="1:9" ht="15" customHeight="1">
      <c r="A68" s="14"/>
      <c r="B68" s="82"/>
      <c r="C68" s="83"/>
      <c r="D68" s="82"/>
      <c r="E68" s="99"/>
      <c r="F68" s="99"/>
      <c r="G68" s="100" t="s">
        <v>57</v>
      </c>
      <c r="H68" s="77" t="s">
        <v>200</v>
      </c>
      <c r="I68" s="90">
        <f>SUM(I58:I67)</f>
        <v>1</v>
      </c>
    </row>
    <row r="69" spans="1:10" ht="27" customHeight="1">
      <c r="A69" s="61">
        <v>9</v>
      </c>
      <c r="B69" s="175" t="s">
        <v>260</v>
      </c>
      <c r="C69" s="175"/>
      <c r="D69" s="172" t="s">
        <v>7</v>
      </c>
      <c r="E69" s="172"/>
      <c r="F69" s="172"/>
      <c r="G69" s="172"/>
      <c r="H69" s="81">
        <v>0.003</v>
      </c>
      <c r="I69" s="77" t="s">
        <v>17</v>
      </c>
      <c r="J69" s="60">
        <f>4767.72+1206.63</f>
        <v>5974.35</v>
      </c>
    </row>
    <row r="70" spans="1:10" ht="15" customHeight="1">
      <c r="A70" s="18" t="s">
        <v>261</v>
      </c>
      <c r="B70" s="82"/>
      <c r="C70" s="83"/>
      <c r="D70" s="138" t="s">
        <v>210</v>
      </c>
      <c r="E70" s="138"/>
      <c r="F70" s="138"/>
      <c r="G70" s="138"/>
      <c r="H70" s="77" t="s">
        <v>200</v>
      </c>
      <c r="I70" s="84">
        <f aca="true" t="shared" si="4" ref="I70:I79">J70/$J$69</f>
        <v>0.027221371362575006</v>
      </c>
      <c r="J70" s="6">
        <v>162.63</v>
      </c>
    </row>
    <row r="71" spans="1:10" ht="15" customHeight="1">
      <c r="A71" s="18" t="s">
        <v>262</v>
      </c>
      <c r="B71" s="82"/>
      <c r="C71" s="83"/>
      <c r="D71" s="171" t="s">
        <v>211</v>
      </c>
      <c r="E71" s="171"/>
      <c r="F71" s="171"/>
      <c r="G71" s="171"/>
      <c r="H71" s="77" t="s">
        <v>200</v>
      </c>
      <c r="I71" s="84">
        <f t="shared" si="4"/>
        <v>0.1083766434842284</v>
      </c>
      <c r="J71" s="6">
        <v>647.48</v>
      </c>
    </row>
    <row r="72" spans="1:10" ht="15" customHeight="1">
      <c r="A72" s="18" t="s">
        <v>263</v>
      </c>
      <c r="B72" s="82"/>
      <c r="C72" s="83"/>
      <c r="D72" s="174" t="s">
        <v>212</v>
      </c>
      <c r="E72" s="174"/>
      <c r="F72" s="174"/>
      <c r="G72" s="174"/>
      <c r="H72" s="77" t="s">
        <v>200</v>
      </c>
      <c r="I72" s="84">
        <f t="shared" si="4"/>
        <v>0.3353703750198766</v>
      </c>
      <c r="J72" s="6">
        <v>2003.62</v>
      </c>
    </row>
    <row r="73" spans="1:10" ht="15" customHeight="1">
      <c r="A73" s="18" t="s">
        <v>264</v>
      </c>
      <c r="B73" s="82"/>
      <c r="C73" s="83"/>
      <c r="D73" s="138" t="s">
        <v>213</v>
      </c>
      <c r="E73" s="138"/>
      <c r="F73" s="138"/>
      <c r="G73" s="138"/>
      <c r="H73" s="77" t="s">
        <v>200</v>
      </c>
      <c r="I73" s="84">
        <f t="shared" si="4"/>
        <v>0.05810339200080343</v>
      </c>
      <c r="J73" s="6">
        <v>347.13</v>
      </c>
    </row>
    <row r="74" spans="1:10" ht="15" customHeight="1">
      <c r="A74" s="18" t="s">
        <v>265</v>
      </c>
      <c r="B74" s="82"/>
      <c r="C74" s="83"/>
      <c r="D74" s="138" t="s">
        <v>214</v>
      </c>
      <c r="E74" s="138"/>
      <c r="F74" s="138"/>
      <c r="G74" s="138"/>
      <c r="H74" s="77" t="s">
        <v>200</v>
      </c>
      <c r="I74" s="84">
        <f t="shared" si="4"/>
        <v>0.03128373797986392</v>
      </c>
      <c r="J74" s="6">
        <v>186.9</v>
      </c>
    </row>
    <row r="75" spans="1:10" ht="27" customHeight="1">
      <c r="A75" s="18" t="s">
        <v>266</v>
      </c>
      <c r="B75" s="82"/>
      <c r="C75" s="83"/>
      <c r="D75" s="171" t="s">
        <v>215</v>
      </c>
      <c r="E75" s="171"/>
      <c r="F75" s="171"/>
      <c r="G75" s="171"/>
      <c r="H75" s="77" t="s">
        <v>200</v>
      </c>
      <c r="I75" s="84">
        <f t="shared" si="4"/>
        <v>0.15877710545917129</v>
      </c>
      <c r="J75" s="6">
        <v>948.59</v>
      </c>
    </row>
    <row r="76" spans="1:10" ht="15" customHeight="1">
      <c r="A76" s="18" t="s">
        <v>267</v>
      </c>
      <c r="B76" s="82"/>
      <c r="C76" s="83"/>
      <c r="D76" s="138" t="s">
        <v>268</v>
      </c>
      <c r="E76" s="138"/>
      <c r="F76" s="138"/>
      <c r="G76" s="138"/>
      <c r="H76" s="77" t="s">
        <v>200</v>
      </c>
      <c r="I76" s="84">
        <f t="shared" si="4"/>
        <v>0.0018830500389163674</v>
      </c>
      <c r="J76" s="6">
        <v>11.25</v>
      </c>
    </row>
    <row r="77" spans="1:10" ht="15" customHeight="1">
      <c r="A77" s="18" t="s">
        <v>269</v>
      </c>
      <c r="B77" s="82"/>
      <c r="C77" s="83"/>
      <c r="D77" s="138" t="s">
        <v>219</v>
      </c>
      <c r="E77" s="138"/>
      <c r="F77" s="138"/>
      <c r="G77" s="138"/>
      <c r="H77" s="77" t="s">
        <v>200</v>
      </c>
      <c r="I77" s="84">
        <f t="shared" si="4"/>
        <v>0.005188848996125101</v>
      </c>
      <c r="J77" s="6">
        <v>31</v>
      </c>
    </row>
    <row r="78" spans="1:10" ht="15" customHeight="1">
      <c r="A78" s="18" t="s">
        <v>270</v>
      </c>
      <c r="B78" s="82"/>
      <c r="C78" s="83"/>
      <c r="D78" s="138" t="s">
        <v>220</v>
      </c>
      <c r="E78" s="138"/>
      <c r="F78" s="138"/>
      <c r="G78" s="138"/>
      <c r="H78" s="77" t="s">
        <v>200</v>
      </c>
      <c r="I78" s="84">
        <f t="shared" si="4"/>
        <v>0.07182706068442592</v>
      </c>
      <c r="J78" s="6">
        <v>429.12</v>
      </c>
    </row>
    <row r="79" spans="1:10" ht="15" customHeight="1">
      <c r="A79" s="18" t="s">
        <v>271</v>
      </c>
      <c r="B79" s="82"/>
      <c r="C79" s="83"/>
      <c r="D79" s="171" t="s">
        <v>221</v>
      </c>
      <c r="E79" s="171"/>
      <c r="F79" s="171"/>
      <c r="G79" s="171"/>
      <c r="H79" s="77" t="s">
        <v>200</v>
      </c>
      <c r="I79" s="84">
        <f t="shared" si="4"/>
        <v>0.2019684149740139</v>
      </c>
      <c r="J79" s="6">
        <v>1206.63</v>
      </c>
    </row>
    <row r="80" spans="1:9" ht="15" customHeight="1">
      <c r="A80" s="14"/>
      <c r="B80" s="82"/>
      <c r="C80" s="83"/>
      <c r="D80" s="82"/>
      <c r="E80" s="99"/>
      <c r="F80" s="99"/>
      <c r="G80" s="100" t="s">
        <v>57</v>
      </c>
      <c r="H80" s="77" t="s">
        <v>200</v>
      </c>
      <c r="I80" s="90">
        <f>SUM(I70:I79)</f>
        <v>1</v>
      </c>
    </row>
    <row r="81" spans="1:10" ht="27" customHeight="1">
      <c r="A81" s="61">
        <v>10</v>
      </c>
      <c r="B81" s="175" t="s">
        <v>272</v>
      </c>
      <c r="C81" s="175"/>
      <c r="D81" s="172" t="s">
        <v>7</v>
      </c>
      <c r="E81" s="172"/>
      <c r="F81" s="172"/>
      <c r="G81" s="172"/>
      <c r="H81" s="81">
        <v>0.0272</v>
      </c>
      <c r="I81" s="77" t="s">
        <v>17</v>
      </c>
      <c r="J81" s="60">
        <f>11766.97+41005.25</f>
        <v>52772.22</v>
      </c>
    </row>
    <row r="82" spans="1:10" ht="15" customHeight="1">
      <c r="A82" s="18" t="s">
        <v>273</v>
      </c>
      <c r="B82" s="82"/>
      <c r="C82" s="83"/>
      <c r="D82" s="138" t="s">
        <v>210</v>
      </c>
      <c r="E82" s="138"/>
      <c r="F82" s="138"/>
      <c r="G82" s="138"/>
      <c r="H82" s="77" t="s">
        <v>200</v>
      </c>
      <c r="I82" s="84">
        <f aca="true" t="shared" si="5" ref="I82:I91">J82/$J$81</f>
        <v>0.0011113801920783321</v>
      </c>
      <c r="J82" s="6">
        <v>58.65</v>
      </c>
    </row>
    <row r="83" spans="1:10" ht="15" customHeight="1">
      <c r="A83" s="18" t="s">
        <v>274</v>
      </c>
      <c r="B83" s="82"/>
      <c r="C83" s="83"/>
      <c r="D83" s="171" t="s">
        <v>211</v>
      </c>
      <c r="E83" s="171"/>
      <c r="F83" s="171"/>
      <c r="G83" s="171"/>
      <c r="H83" s="77" t="s">
        <v>200</v>
      </c>
      <c r="I83" s="84">
        <f t="shared" si="5"/>
        <v>0.07105063990106916</v>
      </c>
      <c r="J83" s="6">
        <v>3749.5</v>
      </c>
    </row>
    <row r="84" spans="1:10" ht="15" customHeight="1">
      <c r="A84" s="18" t="s">
        <v>275</v>
      </c>
      <c r="B84" s="82"/>
      <c r="C84" s="83"/>
      <c r="D84" s="174" t="s">
        <v>212</v>
      </c>
      <c r="E84" s="174"/>
      <c r="F84" s="174"/>
      <c r="G84" s="174"/>
      <c r="H84" s="77" t="s">
        <v>200</v>
      </c>
      <c r="I84" s="84">
        <f t="shared" si="5"/>
        <v>0.03777593589960779</v>
      </c>
      <c r="J84" s="6">
        <v>1993.52</v>
      </c>
    </row>
    <row r="85" spans="1:10" ht="15" customHeight="1">
      <c r="A85" s="18" t="s">
        <v>276</v>
      </c>
      <c r="B85" s="82"/>
      <c r="C85" s="83"/>
      <c r="D85" s="138" t="s">
        <v>213</v>
      </c>
      <c r="E85" s="138"/>
      <c r="F85" s="138"/>
      <c r="G85" s="138"/>
      <c r="H85" s="77" t="s">
        <v>200</v>
      </c>
      <c r="I85" s="84">
        <f t="shared" si="5"/>
        <v>0.007470597219521938</v>
      </c>
      <c r="J85" s="6">
        <v>394.24</v>
      </c>
    </row>
    <row r="86" spans="1:10" ht="15" customHeight="1">
      <c r="A86" s="18" t="s">
        <v>277</v>
      </c>
      <c r="B86" s="82"/>
      <c r="C86" s="83"/>
      <c r="D86" s="138" t="s">
        <v>214</v>
      </c>
      <c r="E86" s="138"/>
      <c r="F86" s="138"/>
      <c r="G86" s="138"/>
      <c r="H86" s="77" t="s">
        <v>200</v>
      </c>
      <c r="I86" s="84">
        <f t="shared" si="5"/>
        <v>0.0031622698457635474</v>
      </c>
      <c r="J86" s="6">
        <v>166.88</v>
      </c>
    </row>
    <row r="87" spans="1:10" ht="15" customHeight="1">
      <c r="A87" s="18" t="s">
        <v>278</v>
      </c>
      <c r="B87" s="82"/>
      <c r="C87" s="83"/>
      <c r="D87" s="171" t="s">
        <v>231</v>
      </c>
      <c r="E87" s="171"/>
      <c r="F87" s="171"/>
      <c r="G87" s="171"/>
      <c r="H87" s="77" t="s">
        <v>200</v>
      </c>
      <c r="I87" s="84">
        <f t="shared" si="5"/>
        <v>0.005396589341892383</v>
      </c>
      <c r="J87" s="6">
        <v>284.79</v>
      </c>
    </row>
    <row r="88" spans="1:10" ht="15" customHeight="1">
      <c r="A88" s="18" t="s">
        <v>279</v>
      </c>
      <c r="B88" s="82"/>
      <c r="C88" s="83"/>
      <c r="D88" s="138" t="s">
        <v>217</v>
      </c>
      <c r="E88" s="138"/>
      <c r="F88" s="138"/>
      <c r="G88" s="138"/>
      <c r="H88" s="77" t="s">
        <v>200</v>
      </c>
      <c r="I88" s="84">
        <f t="shared" si="5"/>
        <v>0.011243605063421626</v>
      </c>
      <c r="J88" s="6">
        <v>593.35</v>
      </c>
    </row>
    <row r="89" spans="1:10" ht="15" customHeight="1">
      <c r="A89" s="18" t="s">
        <v>280</v>
      </c>
      <c r="B89" s="82"/>
      <c r="C89" s="83"/>
      <c r="D89" s="138" t="s">
        <v>219</v>
      </c>
      <c r="E89" s="138"/>
      <c r="F89" s="138"/>
      <c r="G89" s="138"/>
      <c r="H89" s="77" t="s">
        <v>200</v>
      </c>
      <c r="I89" s="84">
        <f t="shared" si="5"/>
        <v>0.044543322225216224</v>
      </c>
      <c r="J89" s="6">
        <v>2350.65</v>
      </c>
    </row>
    <row r="90" spans="1:10" ht="15" customHeight="1">
      <c r="A90" s="18" t="s">
        <v>281</v>
      </c>
      <c r="B90" s="82"/>
      <c r="C90" s="83"/>
      <c r="D90" s="138" t="s">
        <v>220</v>
      </c>
      <c r="E90" s="138"/>
      <c r="F90" s="138"/>
      <c r="G90" s="138"/>
      <c r="H90" s="77" t="s">
        <v>200</v>
      </c>
      <c r="I90" s="84">
        <f t="shared" si="5"/>
        <v>0.0412222567100645</v>
      </c>
      <c r="J90" s="6">
        <v>2175.39</v>
      </c>
    </row>
    <row r="91" spans="1:10" ht="15" customHeight="1">
      <c r="A91" s="18" t="s">
        <v>282</v>
      </c>
      <c r="B91" s="82"/>
      <c r="C91" s="83"/>
      <c r="D91" s="171" t="s">
        <v>221</v>
      </c>
      <c r="E91" s="171"/>
      <c r="F91" s="171"/>
      <c r="G91" s="171"/>
      <c r="H91" s="77" t="s">
        <v>200</v>
      </c>
      <c r="I91" s="84">
        <f t="shared" si="5"/>
        <v>0.7770234036013645</v>
      </c>
      <c r="J91" s="6">
        <v>41005.25</v>
      </c>
    </row>
    <row r="92" spans="1:9" ht="15" customHeight="1">
      <c r="A92" s="14"/>
      <c r="B92" s="82"/>
      <c r="C92" s="83"/>
      <c r="D92" s="82"/>
      <c r="E92" s="99"/>
      <c r="F92" s="99"/>
      <c r="G92" s="100" t="s">
        <v>57</v>
      </c>
      <c r="H92" s="77" t="s">
        <v>200</v>
      </c>
      <c r="I92" s="90">
        <f>SUM(I82:I91)</f>
        <v>1</v>
      </c>
    </row>
    <row r="93" spans="1:10" ht="27" customHeight="1">
      <c r="A93" s="61">
        <v>11</v>
      </c>
      <c r="B93" s="175" t="s">
        <v>283</v>
      </c>
      <c r="C93" s="175"/>
      <c r="D93" s="172" t="s">
        <v>7</v>
      </c>
      <c r="E93" s="172"/>
      <c r="F93" s="172"/>
      <c r="G93" s="172"/>
      <c r="H93" s="81">
        <v>0.0304</v>
      </c>
      <c r="I93" s="77" t="s">
        <v>17</v>
      </c>
      <c r="J93" s="60">
        <f>43750.2+15144.77</f>
        <v>58894.97</v>
      </c>
    </row>
    <row r="94" spans="1:10" ht="15" customHeight="1">
      <c r="A94" s="18" t="s">
        <v>284</v>
      </c>
      <c r="B94" s="82"/>
      <c r="C94" s="83"/>
      <c r="D94" s="138" t="s">
        <v>210</v>
      </c>
      <c r="E94" s="138"/>
      <c r="F94" s="138"/>
      <c r="G94" s="138"/>
      <c r="H94" s="77" t="s">
        <v>200</v>
      </c>
      <c r="I94" s="84">
        <f aca="true" t="shared" si="6" ref="I94:I104">J94/$J$93</f>
        <v>0.01631480583146574</v>
      </c>
      <c r="J94" s="6">
        <v>960.86</v>
      </c>
    </row>
    <row r="95" spans="1:10" ht="15" customHeight="1">
      <c r="A95" s="18" t="s">
        <v>285</v>
      </c>
      <c r="B95" s="82"/>
      <c r="C95" s="83"/>
      <c r="D95" s="171" t="s">
        <v>211</v>
      </c>
      <c r="E95" s="171"/>
      <c r="F95" s="171"/>
      <c r="G95" s="171"/>
      <c r="H95" s="77" t="s">
        <v>200</v>
      </c>
      <c r="I95" s="84">
        <f t="shared" si="6"/>
        <v>0.3223786343723411</v>
      </c>
      <c r="J95" s="6">
        <v>18986.48</v>
      </c>
    </row>
    <row r="96" spans="1:10" ht="15" customHeight="1">
      <c r="A96" s="18">
        <v>11.3</v>
      </c>
      <c r="B96" s="82"/>
      <c r="C96" s="83"/>
      <c r="D96" s="174" t="s">
        <v>212</v>
      </c>
      <c r="E96" s="174"/>
      <c r="F96" s="174"/>
      <c r="G96" s="174"/>
      <c r="H96" s="77" t="s">
        <v>200</v>
      </c>
      <c r="I96" s="84">
        <f t="shared" si="6"/>
        <v>0.19081527675453439</v>
      </c>
      <c r="J96" s="6">
        <v>11238.06</v>
      </c>
    </row>
    <row r="97" spans="1:10" ht="15" customHeight="1">
      <c r="A97" s="18" t="s">
        <v>286</v>
      </c>
      <c r="B97" s="82"/>
      <c r="C97" s="83"/>
      <c r="D97" s="138" t="s">
        <v>213</v>
      </c>
      <c r="E97" s="138"/>
      <c r="F97" s="138"/>
      <c r="G97" s="138"/>
      <c r="H97" s="77" t="s">
        <v>200</v>
      </c>
      <c r="I97" s="84">
        <f t="shared" si="6"/>
        <v>0.04036354887352859</v>
      </c>
      <c r="J97" s="6">
        <v>2377.21</v>
      </c>
    </row>
    <row r="98" spans="1:10" ht="15" customHeight="1">
      <c r="A98" s="18" t="s">
        <v>287</v>
      </c>
      <c r="B98" s="82"/>
      <c r="C98" s="83"/>
      <c r="D98" s="138" t="s">
        <v>214</v>
      </c>
      <c r="E98" s="138"/>
      <c r="F98" s="138"/>
      <c r="G98" s="138"/>
      <c r="H98" s="77" t="s">
        <v>200</v>
      </c>
      <c r="I98" s="84">
        <f t="shared" si="6"/>
        <v>0.008125991065111332</v>
      </c>
      <c r="J98" s="6">
        <v>478.58</v>
      </c>
    </row>
    <row r="99" spans="1:10" ht="27" customHeight="1">
      <c r="A99" s="18" t="s">
        <v>288</v>
      </c>
      <c r="B99" s="82"/>
      <c r="C99" s="83"/>
      <c r="D99" s="171" t="s">
        <v>215</v>
      </c>
      <c r="E99" s="171"/>
      <c r="F99" s="171"/>
      <c r="G99" s="171"/>
      <c r="H99" s="77" t="s">
        <v>200</v>
      </c>
      <c r="I99" s="84">
        <f t="shared" si="6"/>
        <v>0.08897771745193181</v>
      </c>
      <c r="J99" s="6">
        <v>5240.34</v>
      </c>
    </row>
    <row r="100" spans="1:10" ht="15" customHeight="1">
      <c r="A100" s="18" t="s">
        <v>289</v>
      </c>
      <c r="B100" s="82"/>
      <c r="C100" s="83"/>
      <c r="D100" s="138" t="s">
        <v>217</v>
      </c>
      <c r="E100" s="138"/>
      <c r="F100" s="138"/>
      <c r="G100" s="138"/>
      <c r="H100" s="77" t="s">
        <v>200</v>
      </c>
      <c r="I100" s="84">
        <f t="shared" si="6"/>
        <v>0.006358777328522283</v>
      </c>
      <c r="J100" s="6">
        <v>374.5</v>
      </c>
    </row>
    <row r="101" spans="1:10" ht="15" customHeight="1">
      <c r="A101" s="18" t="s">
        <v>290</v>
      </c>
      <c r="B101" s="82"/>
      <c r="C101" s="83"/>
      <c r="D101" s="138" t="s">
        <v>268</v>
      </c>
      <c r="E101" s="138"/>
      <c r="F101" s="138"/>
      <c r="G101" s="138"/>
      <c r="H101" s="77" t="s">
        <v>200</v>
      </c>
      <c r="I101" s="84">
        <f t="shared" si="6"/>
        <v>0.002413109302882742</v>
      </c>
      <c r="J101" s="6">
        <v>142.12</v>
      </c>
    </row>
    <row r="102" spans="1:10" ht="15" customHeight="1">
      <c r="A102" s="18" t="s">
        <v>291</v>
      </c>
      <c r="B102" s="82"/>
      <c r="C102" s="83"/>
      <c r="D102" s="138" t="s">
        <v>219</v>
      </c>
      <c r="E102" s="138"/>
      <c r="F102" s="138"/>
      <c r="G102" s="138"/>
      <c r="H102" s="77" t="s">
        <v>200</v>
      </c>
      <c r="I102" s="84">
        <f t="shared" si="6"/>
        <v>0.010253507218018787</v>
      </c>
      <c r="J102" s="6">
        <v>603.88</v>
      </c>
    </row>
    <row r="103" spans="1:10" ht="15" customHeight="1">
      <c r="A103" s="18" t="s">
        <v>292</v>
      </c>
      <c r="B103" s="82"/>
      <c r="C103" s="83"/>
      <c r="D103" s="138" t="s">
        <v>220</v>
      </c>
      <c r="E103" s="138"/>
      <c r="F103" s="138"/>
      <c r="G103" s="138"/>
      <c r="H103" s="77" t="s">
        <v>200</v>
      </c>
      <c r="I103" s="84">
        <f t="shared" si="6"/>
        <v>0.05684984643000922</v>
      </c>
      <c r="J103" s="6">
        <v>3348.17</v>
      </c>
    </row>
    <row r="104" spans="1:10" ht="15" customHeight="1">
      <c r="A104" s="18" t="s">
        <v>293</v>
      </c>
      <c r="B104" s="82"/>
      <c r="C104" s="83"/>
      <c r="D104" s="171" t="s">
        <v>221</v>
      </c>
      <c r="E104" s="171"/>
      <c r="F104" s="171"/>
      <c r="G104" s="171"/>
      <c r="H104" s="77" t="s">
        <v>200</v>
      </c>
      <c r="I104" s="84">
        <f t="shared" si="6"/>
        <v>0.257148785371654</v>
      </c>
      <c r="J104" s="6">
        <v>15144.77</v>
      </c>
    </row>
    <row r="105" spans="1:9" ht="15" customHeight="1">
      <c r="A105" s="14"/>
      <c r="B105" s="82"/>
      <c r="C105" s="83"/>
      <c r="D105" s="82"/>
      <c r="E105" s="99"/>
      <c r="F105" s="99"/>
      <c r="G105" s="100" t="s">
        <v>57</v>
      </c>
      <c r="H105" s="77" t="s">
        <v>200</v>
      </c>
      <c r="I105" s="90">
        <f>SUM(I94:I104)</f>
        <v>1</v>
      </c>
    </row>
    <row r="106" spans="1:10" ht="27" customHeight="1">
      <c r="A106" s="35">
        <v>12</v>
      </c>
      <c r="B106" s="176" t="s">
        <v>294</v>
      </c>
      <c r="C106" s="176"/>
      <c r="D106" s="134" t="s">
        <v>7</v>
      </c>
      <c r="E106" s="134"/>
      <c r="F106" s="134"/>
      <c r="G106" s="134"/>
      <c r="H106" s="81">
        <v>0.015</v>
      </c>
      <c r="I106" s="77" t="s">
        <v>17</v>
      </c>
      <c r="J106" s="60">
        <f>26874.45+2269.91</f>
        <v>29144.36</v>
      </c>
    </row>
    <row r="107" spans="1:10" ht="15" customHeight="1">
      <c r="A107" s="62" t="s">
        <v>295</v>
      </c>
      <c r="B107" s="101"/>
      <c r="C107" s="102"/>
      <c r="D107" s="138" t="s">
        <v>210</v>
      </c>
      <c r="E107" s="138"/>
      <c r="F107" s="138"/>
      <c r="G107" s="138"/>
      <c r="H107" s="77" t="s">
        <v>200</v>
      </c>
      <c r="I107" s="84">
        <f aca="true" t="shared" si="7" ref="I107:I117">J107/$J$106</f>
        <v>0.006139095179993659</v>
      </c>
      <c r="J107" s="6">
        <v>178.92</v>
      </c>
    </row>
    <row r="108" spans="1:10" ht="15" customHeight="1">
      <c r="A108" s="62" t="s">
        <v>296</v>
      </c>
      <c r="B108" s="101"/>
      <c r="C108" s="102"/>
      <c r="D108" s="171" t="s">
        <v>297</v>
      </c>
      <c r="E108" s="171"/>
      <c r="F108" s="171"/>
      <c r="G108" s="171"/>
      <c r="H108" s="77" t="s">
        <v>200</v>
      </c>
      <c r="I108" s="84">
        <f t="shared" si="7"/>
        <v>0.04627722139034791</v>
      </c>
      <c r="J108" s="6">
        <v>1348.72</v>
      </c>
    </row>
    <row r="109" spans="1:10" ht="15" customHeight="1">
      <c r="A109" s="62" t="s">
        <v>298</v>
      </c>
      <c r="B109" s="101"/>
      <c r="C109" s="102"/>
      <c r="D109" s="174" t="s">
        <v>212</v>
      </c>
      <c r="E109" s="174"/>
      <c r="F109" s="174"/>
      <c r="G109" s="174"/>
      <c r="H109" s="77" t="s">
        <v>200</v>
      </c>
      <c r="I109" s="84">
        <f t="shared" si="7"/>
        <v>0.19351805975495773</v>
      </c>
      <c r="J109" s="6">
        <v>5639.96</v>
      </c>
    </row>
    <row r="110" spans="1:10" ht="15" customHeight="1">
      <c r="A110" s="62" t="s">
        <v>299</v>
      </c>
      <c r="B110" s="101"/>
      <c r="C110" s="102"/>
      <c r="D110" s="138" t="s">
        <v>213</v>
      </c>
      <c r="E110" s="138"/>
      <c r="F110" s="138"/>
      <c r="G110" s="138"/>
      <c r="H110" s="77" t="s">
        <v>200</v>
      </c>
      <c r="I110" s="84">
        <f t="shared" si="7"/>
        <v>0.005920184900268868</v>
      </c>
      <c r="J110" s="6">
        <v>172.54</v>
      </c>
    </row>
    <row r="111" spans="1:10" ht="15" customHeight="1">
      <c r="A111" s="62" t="s">
        <v>300</v>
      </c>
      <c r="B111" s="101"/>
      <c r="C111" s="102"/>
      <c r="D111" s="138" t="s">
        <v>214</v>
      </c>
      <c r="E111" s="138"/>
      <c r="F111" s="138"/>
      <c r="G111" s="138"/>
      <c r="H111" s="77" t="s">
        <v>200</v>
      </c>
      <c r="I111" s="84">
        <f t="shared" si="7"/>
        <v>0.009848560750690698</v>
      </c>
      <c r="J111" s="6">
        <v>287.03</v>
      </c>
    </row>
    <row r="112" spans="1:10" ht="27" customHeight="1">
      <c r="A112" s="62" t="s">
        <v>301</v>
      </c>
      <c r="B112" s="101"/>
      <c r="C112" s="102"/>
      <c r="D112" s="171" t="s">
        <v>215</v>
      </c>
      <c r="E112" s="171"/>
      <c r="F112" s="171"/>
      <c r="G112" s="171"/>
      <c r="H112" s="77" t="s">
        <v>200</v>
      </c>
      <c r="I112" s="84">
        <f t="shared" si="7"/>
        <v>0.5098152781533031</v>
      </c>
      <c r="J112" s="6">
        <v>14858.24</v>
      </c>
    </row>
    <row r="113" spans="1:10" ht="15" customHeight="1">
      <c r="A113" s="62" t="s">
        <v>302</v>
      </c>
      <c r="B113" s="101"/>
      <c r="C113" s="102"/>
      <c r="D113" s="138" t="s">
        <v>216</v>
      </c>
      <c r="E113" s="138"/>
      <c r="F113" s="138"/>
      <c r="G113" s="138"/>
      <c r="H113" s="77" t="s">
        <v>200</v>
      </c>
      <c r="I113" s="84">
        <f t="shared" si="7"/>
        <v>0.09490721360839628</v>
      </c>
      <c r="J113" s="6">
        <v>2766.01</v>
      </c>
    </row>
    <row r="114" spans="1:10" ht="15" customHeight="1">
      <c r="A114" s="62" t="s">
        <v>303</v>
      </c>
      <c r="B114" s="101"/>
      <c r="C114" s="102"/>
      <c r="D114" s="138" t="s">
        <v>217</v>
      </c>
      <c r="E114" s="138"/>
      <c r="F114" s="138"/>
      <c r="G114" s="138"/>
      <c r="H114" s="77" t="s">
        <v>200</v>
      </c>
      <c r="I114" s="84">
        <f t="shared" si="7"/>
        <v>0.00570950949000081</v>
      </c>
      <c r="J114" s="6">
        <v>166.4</v>
      </c>
    </row>
    <row r="115" spans="1:10" ht="15" customHeight="1">
      <c r="A115" s="62" t="s">
        <v>304</v>
      </c>
      <c r="B115" s="101"/>
      <c r="C115" s="102"/>
      <c r="D115" s="138" t="s">
        <v>219</v>
      </c>
      <c r="E115" s="138"/>
      <c r="F115" s="138"/>
      <c r="G115" s="138"/>
      <c r="H115" s="77" t="s">
        <v>200</v>
      </c>
      <c r="I115" s="84">
        <f t="shared" si="7"/>
        <v>0.04174770006958465</v>
      </c>
      <c r="J115" s="6">
        <v>1216.71</v>
      </c>
    </row>
    <row r="116" spans="1:10" ht="15" customHeight="1">
      <c r="A116" s="62" t="s">
        <v>305</v>
      </c>
      <c r="B116" s="101"/>
      <c r="C116" s="102"/>
      <c r="D116" s="138" t="s">
        <v>220</v>
      </c>
      <c r="E116" s="138"/>
      <c r="F116" s="138"/>
      <c r="G116" s="138"/>
      <c r="H116" s="77" t="s">
        <v>200</v>
      </c>
      <c r="I116" s="84">
        <f t="shared" si="7"/>
        <v>0.008232124500246359</v>
      </c>
      <c r="J116" s="6">
        <v>239.92</v>
      </c>
    </row>
    <row r="117" spans="1:10" ht="15" customHeight="1">
      <c r="A117" s="62" t="s">
        <v>306</v>
      </c>
      <c r="B117" s="101"/>
      <c r="C117" s="102"/>
      <c r="D117" s="171" t="s">
        <v>221</v>
      </c>
      <c r="E117" s="171"/>
      <c r="F117" s="171"/>
      <c r="G117" s="171"/>
      <c r="H117" s="77" t="s">
        <v>200</v>
      </c>
      <c r="I117" s="84">
        <f t="shared" si="7"/>
        <v>0.07788505220220995</v>
      </c>
      <c r="J117" s="6">
        <v>2269.91</v>
      </c>
    </row>
    <row r="118" spans="1:9" ht="15" customHeight="1">
      <c r="A118" s="14"/>
      <c r="B118" s="82"/>
      <c r="C118" s="83"/>
      <c r="D118" s="82"/>
      <c r="E118" s="99"/>
      <c r="F118" s="99"/>
      <c r="G118" s="100" t="s">
        <v>57</v>
      </c>
      <c r="H118" s="77" t="s">
        <v>200</v>
      </c>
      <c r="I118" s="90">
        <f>SUM(I107:I117)</f>
        <v>0.9999999999999999</v>
      </c>
    </row>
    <row r="119" spans="1:10" ht="27" customHeight="1">
      <c r="A119" s="35">
        <v>13</v>
      </c>
      <c r="B119" s="148" t="s">
        <v>307</v>
      </c>
      <c r="C119" s="148"/>
      <c r="D119" s="134" t="s">
        <v>308</v>
      </c>
      <c r="E119" s="134"/>
      <c r="F119" s="134"/>
      <c r="G119" s="134"/>
      <c r="H119" s="81">
        <v>0.036</v>
      </c>
      <c r="I119" s="103">
        <v>1</v>
      </c>
      <c r="J119" s="66">
        <f>40840.21+67221.9</f>
        <v>108062.10999999999</v>
      </c>
    </row>
    <row r="120" spans="1:10" ht="27" customHeight="1">
      <c r="A120" s="35">
        <v>14</v>
      </c>
      <c r="B120" s="175" t="s">
        <v>309</v>
      </c>
      <c r="C120" s="175"/>
      <c r="D120" s="134" t="s">
        <v>7</v>
      </c>
      <c r="E120" s="134"/>
      <c r="F120" s="134"/>
      <c r="G120" s="134"/>
      <c r="H120" s="81">
        <v>0.025</v>
      </c>
      <c r="I120" s="77" t="s">
        <v>17</v>
      </c>
      <c r="J120" s="60">
        <f>227136.95</f>
        <v>227136.95</v>
      </c>
    </row>
    <row r="121" spans="1:13" ht="15" customHeight="1">
      <c r="A121" s="62" t="s">
        <v>310</v>
      </c>
      <c r="B121" s="101"/>
      <c r="C121" s="102"/>
      <c r="D121" s="138" t="s">
        <v>311</v>
      </c>
      <c r="E121" s="138"/>
      <c r="F121" s="138"/>
      <c r="G121" s="138"/>
      <c r="H121" s="77" t="s">
        <v>200</v>
      </c>
      <c r="I121" s="84">
        <f aca="true" t="shared" si="8" ref="I121:I131">J121/$J$120</f>
        <v>0.054128137231744984</v>
      </c>
      <c r="J121" s="6">
        <v>12294.5</v>
      </c>
      <c r="M121" s="1"/>
    </row>
    <row r="122" spans="1:10" ht="15" customHeight="1">
      <c r="A122" s="62" t="s">
        <v>312</v>
      </c>
      <c r="B122" s="101"/>
      <c r="C122" s="102"/>
      <c r="D122" s="171" t="s">
        <v>211</v>
      </c>
      <c r="E122" s="171"/>
      <c r="F122" s="171"/>
      <c r="G122" s="171"/>
      <c r="H122" s="77" t="s">
        <v>200</v>
      </c>
      <c r="I122" s="84">
        <f t="shared" si="8"/>
        <v>0.14016187150527468</v>
      </c>
      <c r="J122" s="6">
        <v>31835.94</v>
      </c>
    </row>
    <row r="123" spans="1:10" ht="15" customHeight="1">
      <c r="A123" s="62" t="s">
        <v>313</v>
      </c>
      <c r="B123" s="101"/>
      <c r="C123" s="102"/>
      <c r="D123" s="138" t="s">
        <v>240</v>
      </c>
      <c r="E123" s="138"/>
      <c r="F123" s="138"/>
      <c r="G123" s="138"/>
      <c r="H123" s="77" t="s">
        <v>200</v>
      </c>
      <c r="I123" s="84">
        <f t="shared" si="8"/>
        <v>0.0011380799117008482</v>
      </c>
      <c r="J123" s="6">
        <v>258.5</v>
      </c>
    </row>
    <row r="124" spans="1:13" ht="15" customHeight="1">
      <c r="A124" s="62" t="s">
        <v>314</v>
      </c>
      <c r="B124" s="101"/>
      <c r="C124" s="102"/>
      <c r="D124" s="174" t="s">
        <v>315</v>
      </c>
      <c r="E124" s="174"/>
      <c r="F124" s="174"/>
      <c r="G124" s="174"/>
      <c r="H124" s="77" t="s">
        <v>200</v>
      </c>
      <c r="I124" s="84">
        <f t="shared" si="8"/>
        <v>0.0002004077275846136</v>
      </c>
      <c r="J124" s="6">
        <v>45.52</v>
      </c>
      <c r="M124" s="58"/>
    </row>
    <row r="125" spans="1:10" ht="15" customHeight="1">
      <c r="A125" s="62" t="s">
        <v>316</v>
      </c>
      <c r="B125" s="101"/>
      <c r="C125" s="102"/>
      <c r="D125" s="174" t="s">
        <v>212</v>
      </c>
      <c r="E125" s="174"/>
      <c r="F125" s="174"/>
      <c r="G125" s="174"/>
      <c r="H125" s="77" t="s">
        <v>200</v>
      </c>
      <c r="I125" s="84">
        <f t="shared" si="8"/>
        <v>0.00849927763844676</v>
      </c>
      <c r="J125" s="6">
        <v>1930.5</v>
      </c>
    </row>
    <row r="126" spans="1:10" ht="15" customHeight="1">
      <c r="A126" s="62" t="s">
        <v>317</v>
      </c>
      <c r="B126" s="101"/>
      <c r="C126" s="102"/>
      <c r="D126" s="138" t="s">
        <v>213</v>
      </c>
      <c r="E126" s="138"/>
      <c r="F126" s="138"/>
      <c r="G126" s="138"/>
      <c r="H126" s="77" t="s">
        <v>200</v>
      </c>
      <c r="I126" s="84">
        <f t="shared" si="8"/>
        <v>0.0012602969265898833</v>
      </c>
      <c r="J126" s="6">
        <v>286.26</v>
      </c>
    </row>
    <row r="127" spans="1:10" ht="15" customHeight="1">
      <c r="A127" s="62" t="s">
        <v>318</v>
      </c>
      <c r="B127" s="101"/>
      <c r="C127" s="102"/>
      <c r="D127" s="138" t="s">
        <v>214</v>
      </c>
      <c r="E127" s="138"/>
      <c r="F127" s="138"/>
      <c r="G127" s="138"/>
      <c r="H127" s="77" t="s">
        <v>200</v>
      </c>
      <c r="I127" s="84">
        <f t="shared" si="8"/>
        <v>0.19564645910760006</v>
      </c>
      <c r="J127" s="6">
        <v>44438.54</v>
      </c>
    </row>
    <row r="128" spans="1:10" ht="15" customHeight="1">
      <c r="A128" s="62" t="s">
        <v>319</v>
      </c>
      <c r="B128" s="101"/>
      <c r="C128" s="102"/>
      <c r="D128" s="138" t="s">
        <v>216</v>
      </c>
      <c r="E128" s="138"/>
      <c r="F128" s="138"/>
      <c r="G128" s="138"/>
      <c r="H128" s="77" t="s">
        <v>200</v>
      </c>
      <c r="I128" s="84">
        <f t="shared" si="8"/>
        <v>0.015356374205077596</v>
      </c>
      <c r="J128" s="6">
        <v>3488</v>
      </c>
    </row>
    <row r="129" spans="1:10" ht="15" customHeight="1">
      <c r="A129" s="62" t="s">
        <v>320</v>
      </c>
      <c r="B129" s="101"/>
      <c r="C129" s="102"/>
      <c r="D129" s="138" t="s">
        <v>268</v>
      </c>
      <c r="E129" s="138"/>
      <c r="F129" s="138"/>
      <c r="G129" s="138"/>
      <c r="H129" s="77" t="s">
        <v>200</v>
      </c>
      <c r="I129" s="84">
        <f t="shared" si="8"/>
        <v>0.3552785665212111</v>
      </c>
      <c r="J129" s="6">
        <v>80696.89</v>
      </c>
    </row>
    <row r="130" spans="1:10" ht="15" customHeight="1">
      <c r="A130" s="62" t="s">
        <v>321</v>
      </c>
      <c r="B130" s="101"/>
      <c r="C130" s="102"/>
      <c r="D130" s="138" t="s">
        <v>322</v>
      </c>
      <c r="E130" s="138"/>
      <c r="F130" s="138"/>
      <c r="G130" s="138"/>
      <c r="H130" s="77" t="s">
        <v>200</v>
      </c>
      <c r="I130" s="84">
        <f t="shared" si="8"/>
        <v>0.0014118354587397603</v>
      </c>
      <c r="J130" s="6">
        <v>320.68</v>
      </c>
    </row>
    <row r="131" spans="1:10" ht="15" customHeight="1">
      <c r="A131" s="62" t="s">
        <v>323</v>
      </c>
      <c r="B131" s="101"/>
      <c r="C131" s="102"/>
      <c r="D131" s="138" t="s">
        <v>220</v>
      </c>
      <c r="E131" s="138"/>
      <c r="F131" s="138"/>
      <c r="G131" s="138"/>
      <c r="H131" s="77" t="s">
        <v>200</v>
      </c>
      <c r="I131" s="84">
        <f t="shared" si="8"/>
        <v>0.2269186937660297</v>
      </c>
      <c r="J131" s="6">
        <v>51541.62</v>
      </c>
    </row>
    <row r="132" spans="1:9" ht="15" customHeight="1">
      <c r="A132" s="14"/>
      <c r="B132" s="82"/>
      <c r="C132" s="83"/>
      <c r="D132" s="82"/>
      <c r="E132" s="99"/>
      <c r="F132" s="99"/>
      <c r="G132" s="100" t="s">
        <v>57</v>
      </c>
      <c r="H132" s="77" t="s">
        <v>200</v>
      </c>
      <c r="I132" s="90">
        <f>SUM(I121:I131)</f>
        <v>1</v>
      </c>
    </row>
    <row r="133" spans="1:10" ht="29.25" customHeight="1">
      <c r="A133" s="35">
        <v>15</v>
      </c>
      <c r="B133" s="175" t="s">
        <v>324</v>
      </c>
      <c r="C133" s="175"/>
      <c r="D133" s="134" t="s">
        <v>7</v>
      </c>
      <c r="E133" s="134"/>
      <c r="F133" s="134"/>
      <c r="G133" s="134"/>
      <c r="H133" s="81">
        <v>0.005</v>
      </c>
      <c r="I133" s="77" t="s">
        <v>17</v>
      </c>
      <c r="J133" s="60">
        <f>357000</f>
        <v>357000</v>
      </c>
    </row>
    <row r="134" spans="1:10" ht="51" customHeight="1">
      <c r="A134" s="18" t="s">
        <v>325</v>
      </c>
      <c r="B134" s="82"/>
      <c r="C134" s="83"/>
      <c r="D134" s="177" t="s">
        <v>326</v>
      </c>
      <c r="E134" s="177"/>
      <c r="F134" s="177"/>
      <c r="G134" s="177"/>
      <c r="H134" s="77" t="s">
        <v>200</v>
      </c>
      <c r="I134" s="84">
        <v>1</v>
      </c>
      <c r="J134" s="6">
        <v>80000</v>
      </c>
    </row>
    <row r="135" spans="1:9" ht="15" customHeight="1">
      <c r="A135" s="14"/>
      <c r="B135" s="82"/>
      <c r="C135" s="83"/>
      <c r="D135" s="82"/>
      <c r="E135" s="99"/>
      <c r="F135" s="99"/>
      <c r="G135" s="100" t="s">
        <v>57</v>
      </c>
      <c r="H135" s="77" t="s">
        <v>200</v>
      </c>
      <c r="I135" s="90">
        <f>SUM(I134:I134)</f>
        <v>1</v>
      </c>
    </row>
    <row r="136" spans="1:10" ht="27" customHeight="1">
      <c r="A136" s="35">
        <v>16</v>
      </c>
      <c r="B136" s="176" t="s">
        <v>327</v>
      </c>
      <c r="C136" s="176"/>
      <c r="D136" s="134" t="s">
        <v>7</v>
      </c>
      <c r="E136" s="134"/>
      <c r="F136" s="134"/>
      <c r="G136" s="134"/>
      <c r="H136" s="81">
        <v>0.024</v>
      </c>
      <c r="I136" s="77" t="s">
        <v>17</v>
      </c>
      <c r="J136" s="60">
        <f>14997.15</f>
        <v>14997.15</v>
      </c>
    </row>
    <row r="137" spans="1:10" ht="15" customHeight="1">
      <c r="A137" s="18" t="s">
        <v>328</v>
      </c>
      <c r="B137" s="82"/>
      <c r="C137" s="83"/>
      <c r="D137" s="174" t="s">
        <v>329</v>
      </c>
      <c r="E137" s="174"/>
      <c r="F137" s="174"/>
      <c r="G137" s="174"/>
      <c r="H137" s="77" t="s">
        <v>200</v>
      </c>
      <c r="I137" s="84">
        <v>0.084</v>
      </c>
      <c r="J137" s="60"/>
    </row>
    <row r="138" spans="1:10" ht="15" customHeight="1">
      <c r="A138" s="18" t="s">
        <v>330</v>
      </c>
      <c r="B138" s="82"/>
      <c r="C138" s="83"/>
      <c r="D138" s="174" t="s">
        <v>331</v>
      </c>
      <c r="E138" s="174"/>
      <c r="F138" s="174"/>
      <c r="G138" s="174"/>
      <c r="H138" s="77" t="s">
        <v>200</v>
      </c>
      <c r="I138" s="84">
        <v>0.084</v>
      </c>
      <c r="J138" s="60"/>
    </row>
    <row r="139" spans="1:10" ht="15" customHeight="1">
      <c r="A139" s="18" t="s">
        <v>332</v>
      </c>
      <c r="B139" s="82"/>
      <c r="C139" s="83"/>
      <c r="D139" s="174" t="s">
        <v>333</v>
      </c>
      <c r="E139" s="174"/>
      <c r="F139" s="174"/>
      <c r="G139" s="174"/>
      <c r="H139" s="77" t="s">
        <v>200</v>
      </c>
      <c r="I139" s="84">
        <v>0.333</v>
      </c>
      <c r="J139" s="60"/>
    </row>
    <row r="140" spans="1:10" ht="15" customHeight="1">
      <c r="A140" s="18" t="s">
        <v>334</v>
      </c>
      <c r="B140" s="82"/>
      <c r="C140" s="83"/>
      <c r="D140" s="174" t="s">
        <v>335</v>
      </c>
      <c r="E140" s="174"/>
      <c r="F140" s="174"/>
      <c r="G140" s="174"/>
      <c r="H140" s="77" t="s">
        <v>200</v>
      </c>
      <c r="I140" s="84">
        <v>0.172</v>
      </c>
      <c r="J140" s="60"/>
    </row>
    <row r="141" spans="1:10" ht="15" customHeight="1">
      <c r="A141" s="18" t="s">
        <v>336</v>
      </c>
      <c r="B141" s="82"/>
      <c r="C141" s="83"/>
      <c r="D141" s="174" t="s">
        <v>337</v>
      </c>
      <c r="E141" s="174"/>
      <c r="F141" s="174"/>
      <c r="G141" s="174"/>
      <c r="H141" s="77" t="s">
        <v>200</v>
      </c>
      <c r="I141" s="84">
        <v>0.019</v>
      </c>
      <c r="J141" s="60"/>
    </row>
    <row r="142" spans="1:10" ht="15" customHeight="1">
      <c r="A142" s="18" t="s">
        <v>338</v>
      </c>
      <c r="B142" s="82"/>
      <c r="C142" s="83"/>
      <c r="D142" s="174" t="s">
        <v>339</v>
      </c>
      <c r="E142" s="174"/>
      <c r="F142" s="174"/>
      <c r="G142" s="174"/>
      <c r="H142" s="77" t="s">
        <v>200</v>
      </c>
      <c r="I142" s="84" t="s">
        <v>340</v>
      </c>
      <c r="J142" s="60"/>
    </row>
    <row r="143" spans="1:10" ht="15" customHeight="1">
      <c r="A143" s="18" t="s">
        <v>341</v>
      </c>
      <c r="B143" s="82"/>
      <c r="C143" s="83"/>
      <c r="D143" s="174" t="s">
        <v>342</v>
      </c>
      <c r="E143" s="174"/>
      <c r="F143" s="174"/>
      <c r="G143" s="174"/>
      <c r="H143" s="77" t="s">
        <v>200</v>
      </c>
      <c r="I143" s="84">
        <v>0.015</v>
      </c>
      <c r="J143" s="6">
        <v>5848.2</v>
      </c>
    </row>
    <row r="144" spans="1:10" ht="15" customHeight="1">
      <c r="A144" s="18"/>
      <c r="B144" s="82"/>
      <c r="C144" s="83"/>
      <c r="D144" s="174" t="s">
        <v>343</v>
      </c>
      <c r="E144" s="174"/>
      <c r="F144" s="174"/>
      <c r="G144" s="174"/>
      <c r="H144" s="77" t="s">
        <v>200</v>
      </c>
      <c r="I144" s="84">
        <v>0.293</v>
      </c>
      <c r="J144" s="6">
        <v>9148.95</v>
      </c>
    </row>
    <row r="145" spans="1:9" ht="15" customHeight="1">
      <c r="A145" s="14"/>
      <c r="B145" s="57"/>
      <c r="C145" s="52"/>
      <c r="D145" s="57"/>
      <c r="E145" s="64"/>
      <c r="F145" s="64"/>
      <c r="G145" s="65" t="s">
        <v>57</v>
      </c>
      <c r="H145" s="18" t="s">
        <v>200</v>
      </c>
      <c r="I145" s="31">
        <f>SUM(I137:I144)</f>
        <v>1</v>
      </c>
    </row>
  </sheetData>
  <sheetProtection selectLockedCells="1" selectUnlockedCells="1"/>
  <mergeCells count="148">
    <mergeCell ref="D143:G143"/>
    <mergeCell ref="D144:G144"/>
    <mergeCell ref="D139:G139"/>
    <mergeCell ref="D140:G140"/>
    <mergeCell ref="D141:G141"/>
    <mergeCell ref="D142:G142"/>
    <mergeCell ref="B136:C136"/>
    <mergeCell ref="D136:G136"/>
    <mergeCell ref="D137:G137"/>
    <mergeCell ref="D138:G138"/>
    <mergeCell ref="D131:G131"/>
    <mergeCell ref="B133:C133"/>
    <mergeCell ref="D133:G133"/>
    <mergeCell ref="D134:G134"/>
    <mergeCell ref="D127:G127"/>
    <mergeCell ref="D128:G128"/>
    <mergeCell ref="D129:G129"/>
    <mergeCell ref="D130:G130"/>
    <mergeCell ref="D123:G123"/>
    <mergeCell ref="D124:G124"/>
    <mergeCell ref="D125:G125"/>
    <mergeCell ref="D126:G126"/>
    <mergeCell ref="B120:C120"/>
    <mergeCell ref="D120:G120"/>
    <mergeCell ref="D121:G121"/>
    <mergeCell ref="D122:G122"/>
    <mergeCell ref="D115:G115"/>
    <mergeCell ref="D116:G116"/>
    <mergeCell ref="D117:G117"/>
    <mergeCell ref="B119:C119"/>
    <mergeCell ref="D119:G119"/>
    <mergeCell ref="D111:G111"/>
    <mergeCell ref="D112:G112"/>
    <mergeCell ref="D113:G113"/>
    <mergeCell ref="D114:G114"/>
    <mergeCell ref="D107:G107"/>
    <mergeCell ref="D108:G108"/>
    <mergeCell ref="D109:G109"/>
    <mergeCell ref="D110:G110"/>
    <mergeCell ref="D102:G102"/>
    <mergeCell ref="D103:G103"/>
    <mergeCell ref="D104:G104"/>
    <mergeCell ref="B106:C106"/>
    <mergeCell ref="D106:G106"/>
    <mergeCell ref="D98:G98"/>
    <mergeCell ref="D99:G99"/>
    <mergeCell ref="D100:G100"/>
    <mergeCell ref="D101:G101"/>
    <mergeCell ref="D94:G94"/>
    <mergeCell ref="D95:G95"/>
    <mergeCell ref="D96:G96"/>
    <mergeCell ref="D97:G97"/>
    <mergeCell ref="D90:G90"/>
    <mergeCell ref="D91:G91"/>
    <mergeCell ref="B93:C93"/>
    <mergeCell ref="D93:G93"/>
    <mergeCell ref="D86:G86"/>
    <mergeCell ref="D87:G87"/>
    <mergeCell ref="D88:G88"/>
    <mergeCell ref="D89:G89"/>
    <mergeCell ref="D82:G82"/>
    <mergeCell ref="D83:G83"/>
    <mergeCell ref="D84:G84"/>
    <mergeCell ref="D85:G85"/>
    <mergeCell ref="D78:G78"/>
    <mergeCell ref="D79:G79"/>
    <mergeCell ref="B81:C81"/>
    <mergeCell ref="D81:G81"/>
    <mergeCell ref="D74:G74"/>
    <mergeCell ref="D75:G75"/>
    <mergeCell ref="D76:G76"/>
    <mergeCell ref="D77:G77"/>
    <mergeCell ref="D70:G70"/>
    <mergeCell ref="D71:G71"/>
    <mergeCell ref="D72:G72"/>
    <mergeCell ref="D73:G73"/>
    <mergeCell ref="D66:G66"/>
    <mergeCell ref="D67:G67"/>
    <mergeCell ref="B69:C69"/>
    <mergeCell ref="D69:G69"/>
    <mergeCell ref="D62:G62"/>
    <mergeCell ref="D63:G63"/>
    <mergeCell ref="D64:G64"/>
    <mergeCell ref="D65:G65"/>
    <mergeCell ref="D58:G58"/>
    <mergeCell ref="D59:G59"/>
    <mergeCell ref="D60:G60"/>
    <mergeCell ref="D61:G61"/>
    <mergeCell ref="D53:G53"/>
    <mergeCell ref="D54:G54"/>
    <mergeCell ref="D55:G55"/>
    <mergeCell ref="B57:C57"/>
    <mergeCell ref="D57:G57"/>
    <mergeCell ref="D49:G49"/>
    <mergeCell ref="D50:G50"/>
    <mergeCell ref="D51:G51"/>
    <mergeCell ref="D52:G52"/>
    <mergeCell ref="D45:G45"/>
    <mergeCell ref="D46:G46"/>
    <mergeCell ref="D47:G47"/>
    <mergeCell ref="D48:G48"/>
    <mergeCell ref="D41:G41"/>
    <mergeCell ref="D42:G42"/>
    <mergeCell ref="B44:C44"/>
    <mergeCell ref="D44:G44"/>
    <mergeCell ref="D37:G37"/>
    <mergeCell ref="D38:G38"/>
    <mergeCell ref="D39:G39"/>
    <mergeCell ref="D40:G40"/>
    <mergeCell ref="D33:G33"/>
    <mergeCell ref="D34:G34"/>
    <mergeCell ref="D35:G35"/>
    <mergeCell ref="D36:G36"/>
    <mergeCell ref="D29:G29"/>
    <mergeCell ref="B31:C31"/>
    <mergeCell ref="D31:G31"/>
    <mergeCell ref="B32:C32"/>
    <mergeCell ref="D32:G32"/>
    <mergeCell ref="D25:G25"/>
    <mergeCell ref="D26:G26"/>
    <mergeCell ref="D27:G27"/>
    <mergeCell ref="D28:G28"/>
    <mergeCell ref="D21:G21"/>
    <mergeCell ref="D22:G22"/>
    <mergeCell ref="D23:G23"/>
    <mergeCell ref="D24:G24"/>
    <mergeCell ref="B18:C18"/>
    <mergeCell ref="D18:G18"/>
    <mergeCell ref="D19:G19"/>
    <mergeCell ref="D20:G20"/>
    <mergeCell ref="B14:C14"/>
    <mergeCell ref="D14:G14"/>
    <mergeCell ref="D15:G15"/>
    <mergeCell ref="D16:G16"/>
    <mergeCell ref="B10:C10"/>
    <mergeCell ref="D10:G10"/>
    <mergeCell ref="D11:G11"/>
    <mergeCell ref="D12:G12"/>
    <mergeCell ref="B6:C6"/>
    <mergeCell ref="D6:G6"/>
    <mergeCell ref="D7:G7"/>
    <mergeCell ref="D8:G8"/>
    <mergeCell ref="A1:I1"/>
    <mergeCell ref="A2:A5"/>
    <mergeCell ref="B2:C5"/>
    <mergeCell ref="D2:G5"/>
    <mergeCell ref="H2:H5"/>
    <mergeCell ref="I2:I5"/>
  </mergeCells>
  <printOptions horizontalCentered="1" verticalCentered="1"/>
  <pageMargins left="0.3937007874015748" right="0.3937007874015748" top="0.984251968503937" bottom="0.5905511811023623" header="0.5118110236220472" footer="0.5118110236220472"/>
  <pageSetup horizontalDpi="300" verticalDpi="300" orientation="portrait" paperSize="9" scale="72" r:id="rId1"/>
  <headerFooter alignWithMargins="0">
    <oddFooter>&amp;RIA/ENG/0076-001</oddFooter>
  </headerFooter>
  <rowBreaks count="2" manualBreakCount="2">
    <brk id="56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1" sqref="D1:G1"/>
    </sheetView>
  </sheetViews>
  <sheetFormatPr defaultColWidth="9.140625" defaultRowHeight="12.75"/>
  <cols>
    <col min="3" max="3" width="31.7109375" style="0" customWidth="1"/>
    <col min="8" max="8" width="14.421875" style="0" customWidth="1"/>
    <col min="9" max="9" width="15.7109375" style="0" customWidth="1"/>
  </cols>
  <sheetData>
    <row r="1" spans="1:9" ht="15.75">
      <c r="A1" s="1"/>
      <c r="B1" s="2"/>
      <c r="C1" s="2"/>
      <c r="D1" s="183" t="s">
        <v>356</v>
      </c>
      <c r="E1" s="183"/>
      <c r="F1" s="183"/>
      <c r="G1" s="183"/>
      <c r="H1" s="2"/>
      <c r="I1" s="78"/>
    </row>
    <row r="2" spans="1:9" ht="13.5" thickBot="1">
      <c r="A2" s="1"/>
      <c r="B2" s="2"/>
      <c r="C2" s="2"/>
      <c r="D2" s="3"/>
      <c r="E2" s="3"/>
      <c r="F2" s="3"/>
      <c r="G2" s="3"/>
      <c r="H2" s="2"/>
      <c r="I2" s="78"/>
    </row>
    <row r="3" spans="1:9" ht="12.75">
      <c r="A3" s="184" t="s">
        <v>347</v>
      </c>
      <c r="B3" s="185"/>
      <c r="C3" s="185"/>
      <c r="D3" s="185"/>
      <c r="E3" s="185"/>
      <c r="F3" s="185"/>
      <c r="G3" s="185"/>
      <c r="H3" s="185"/>
      <c r="I3" s="186"/>
    </row>
    <row r="4" spans="1:9" ht="12.75">
      <c r="A4" s="187" t="s">
        <v>1</v>
      </c>
      <c r="B4" s="132" t="s">
        <v>2</v>
      </c>
      <c r="C4" s="132"/>
      <c r="D4" s="132" t="s">
        <v>3</v>
      </c>
      <c r="E4" s="132"/>
      <c r="F4" s="132"/>
      <c r="G4" s="132"/>
      <c r="H4" s="133" t="s">
        <v>4</v>
      </c>
      <c r="I4" s="188" t="s">
        <v>348</v>
      </c>
    </row>
    <row r="5" spans="1:9" ht="12.75">
      <c r="A5" s="187"/>
      <c r="B5" s="132"/>
      <c r="C5" s="132"/>
      <c r="D5" s="132"/>
      <c r="E5" s="132"/>
      <c r="F5" s="132"/>
      <c r="G5" s="132"/>
      <c r="H5" s="133"/>
      <c r="I5" s="188"/>
    </row>
    <row r="6" spans="1:9" ht="12.75">
      <c r="A6" s="187"/>
      <c r="B6" s="132"/>
      <c r="C6" s="132"/>
      <c r="D6" s="132"/>
      <c r="E6" s="132"/>
      <c r="F6" s="132"/>
      <c r="G6" s="132"/>
      <c r="H6" s="133"/>
      <c r="I6" s="188"/>
    </row>
    <row r="7" spans="1:9" ht="12.75">
      <c r="A7" s="187"/>
      <c r="B7" s="132"/>
      <c r="C7" s="132"/>
      <c r="D7" s="132"/>
      <c r="E7" s="132"/>
      <c r="F7" s="132"/>
      <c r="G7" s="132"/>
      <c r="H7" s="133"/>
      <c r="I7" s="188"/>
    </row>
    <row r="8" spans="1:8" ht="12.75">
      <c r="A8" s="67">
        <v>1</v>
      </c>
      <c r="B8" s="126" t="s">
        <v>6</v>
      </c>
      <c r="C8" s="126"/>
      <c r="D8" s="168" t="s">
        <v>7</v>
      </c>
      <c r="E8" s="168"/>
      <c r="F8" s="168"/>
      <c r="G8" s="168"/>
      <c r="H8" s="79">
        <v>0.09363541760831166</v>
      </c>
    </row>
    <row r="9" spans="1:9" ht="12.75">
      <c r="A9" s="68" t="s">
        <v>9</v>
      </c>
      <c r="B9" s="182"/>
      <c r="C9" s="182"/>
      <c r="D9" s="129" t="s">
        <v>10</v>
      </c>
      <c r="E9" s="129"/>
      <c r="F9" s="129"/>
      <c r="G9" s="129"/>
      <c r="H9" s="79" t="s">
        <v>11</v>
      </c>
      <c r="I9" s="80">
        <v>42649.47689654406</v>
      </c>
    </row>
    <row r="10" spans="1:9" ht="12.75">
      <c r="A10" s="69" t="s">
        <v>12</v>
      </c>
      <c r="B10" s="178"/>
      <c r="C10" s="178"/>
      <c r="D10" s="129" t="s">
        <v>13</v>
      </c>
      <c r="E10" s="129"/>
      <c r="F10" s="129"/>
      <c r="G10" s="129"/>
      <c r="H10" s="79" t="s">
        <v>11</v>
      </c>
      <c r="I10" s="80">
        <v>20538.48855484513</v>
      </c>
    </row>
    <row r="11" spans="1:9" ht="12.75">
      <c r="A11" s="70" t="s">
        <v>14</v>
      </c>
      <c r="B11" s="181"/>
      <c r="C11" s="181"/>
      <c r="D11" s="139" t="s">
        <v>15</v>
      </c>
      <c r="E11" s="139"/>
      <c r="F11" s="139"/>
      <c r="G11" s="139"/>
      <c r="H11" s="79" t="s">
        <v>11</v>
      </c>
      <c r="I11" s="80">
        <v>145836.59361568507</v>
      </c>
    </row>
    <row r="12" spans="1:9" ht="12.75">
      <c r="A12" s="71"/>
      <c r="B12" s="178"/>
      <c r="C12" s="178"/>
      <c r="D12" s="180" t="s">
        <v>16</v>
      </c>
      <c r="E12" s="180"/>
      <c r="F12" s="180"/>
      <c r="G12" s="180"/>
      <c r="H12" s="79"/>
      <c r="I12" s="80">
        <v>209024.55906707427</v>
      </c>
    </row>
    <row r="13" spans="1:9" ht="12.75">
      <c r="A13" s="72">
        <v>2</v>
      </c>
      <c r="B13" s="136" t="s">
        <v>344</v>
      </c>
      <c r="C13" s="136"/>
      <c r="D13" s="134" t="s">
        <v>7</v>
      </c>
      <c r="E13" s="134"/>
      <c r="F13" s="134"/>
      <c r="G13" s="134"/>
      <c r="H13" s="79">
        <v>0.5163232702948649</v>
      </c>
      <c r="I13" s="80"/>
    </row>
    <row r="14" spans="1:9" ht="12.75">
      <c r="A14" s="68" t="s">
        <v>18</v>
      </c>
      <c r="B14" s="134"/>
      <c r="C14" s="134"/>
      <c r="D14" s="129" t="s">
        <v>19</v>
      </c>
      <c r="E14" s="129"/>
      <c r="F14" s="129"/>
      <c r="G14" s="129"/>
      <c r="H14" s="79" t="s">
        <v>11</v>
      </c>
      <c r="I14" s="80">
        <v>19647.375366157867</v>
      </c>
    </row>
    <row r="15" spans="1:9" ht="12.75">
      <c r="A15" s="68" t="s">
        <v>20</v>
      </c>
      <c r="B15" s="134"/>
      <c r="C15" s="134"/>
      <c r="D15" s="129" t="s">
        <v>21</v>
      </c>
      <c r="E15" s="129"/>
      <c r="F15" s="129"/>
      <c r="G15" s="129"/>
      <c r="H15" s="79" t="s">
        <v>11</v>
      </c>
      <c r="I15" s="80">
        <v>375571.6172352259</v>
      </c>
    </row>
    <row r="16" spans="1:9" ht="12.75">
      <c r="A16" s="68" t="s">
        <v>23</v>
      </c>
      <c r="B16" s="134"/>
      <c r="C16" s="134"/>
      <c r="D16" s="129" t="s">
        <v>24</v>
      </c>
      <c r="E16" s="129"/>
      <c r="F16" s="129"/>
      <c r="G16" s="129"/>
      <c r="H16" s="79" t="s">
        <v>11</v>
      </c>
      <c r="I16" s="80">
        <v>31592.072955690084</v>
      </c>
    </row>
    <row r="17" spans="1:9" ht="12.75">
      <c r="A17" s="68" t="s">
        <v>25</v>
      </c>
      <c r="B17" s="134"/>
      <c r="C17" s="134"/>
      <c r="D17" s="140" t="s">
        <v>26</v>
      </c>
      <c r="E17" s="140"/>
      <c r="F17" s="140"/>
      <c r="G17" s="140"/>
      <c r="H17" s="79" t="s">
        <v>11</v>
      </c>
      <c r="I17" s="80">
        <v>51844.676193151034</v>
      </c>
    </row>
    <row r="18" spans="1:9" ht="12.75">
      <c r="A18" s="68" t="s">
        <v>27</v>
      </c>
      <c r="B18" s="134"/>
      <c r="C18" s="134"/>
      <c r="D18" s="140" t="s">
        <v>28</v>
      </c>
      <c r="E18" s="140"/>
      <c r="F18" s="140"/>
      <c r="G18" s="140"/>
      <c r="H18" s="79" t="s">
        <v>11</v>
      </c>
      <c r="I18" s="80">
        <v>56165.194805534185</v>
      </c>
    </row>
    <row r="19" spans="1:9" ht="12.75">
      <c r="A19" s="68" t="s">
        <v>29</v>
      </c>
      <c r="B19" s="134"/>
      <c r="C19" s="134"/>
      <c r="D19" s="140" t="s">
        <v>30</v>
      </c>
      <c r="E19" s="140"/>
      <c r="F19" s="140"/>
      <c r="G19" s="140"/>
      <c r="H19" s="79" t="s">
        <v>11</v>
      </c>
      <c r="I19" s="80">
        <v>76438.51058653773</v>
      </c>
    </row>
    <row r="20" spans="1:9" ht="12.75">
      <c r="A20" s="68" t="s">
        <v>31</v>
      </c>
      <c r="B20" s="134"/>
      <c r="C20" s="134"/>
      <c r="D20" s="140" t="s">
        <v>32</v>
      </c>
      <c r="E20" s="140"/>
      <c r="F20" s="140"/>
      <c r="G20" s="140"/>
      <c r="H20" s="79" t="s">
        <v>11</v>
      </c>
      <c r="I20" s="80">
        <v>56165.194805534185</v>
      </c>
    </row>
    <row r="21" spans="1:9" ht="12.75">
      <c r="A21" s="68" t="s">
        <v>33</v>
      </c>
      <c r="B21" s="134"/>
      <c r="C21" s="134"/>
      <c r="D21" s="140" t="s">
        <v>34</v>
      </c>
      <c r="E21" s="140"/>
      <c r="F21" s="140"/>
      <c r="G21" s="140"/>
      <c r="H21" s="79" t="s">
        <v>11</v>
      </c>
      <c r="I21" s="80">
        <v>56165.194805534185</v>
      </c>
    </row>
    <row r="22" spans="1:9" ht="12.75">
      <c r="A22" s="68" t="s">
        <v>35</v>
      </c>
      <c r="B22" s="134"/>
      <c r="C22" s="134"/>
      <c r="D22" s="140" t="s">
        <v>36</v>
      </c>
      <c r="E22" s="140"/>
      <c r="F22" s="140"/>
      <c r="G22" s="140"/>
      <c r="H22" s="79" t="s">
        <v>11</v>
      </c>
      <c r="I22" s="80">
        <v>4320.5186123831445</v>
      </c>
    </row>
    <row r="23" spans="1:9" ht="12.75">
      <c r="A23" s="68" t="s">
        <v>37</v>
      </c>
      <c r="B23" s="134"/>
      <c r="C23" s="134"/>
      <c r="D23" s="129" t="s">
        <v>38</v>
      </c>
      <c r="E23" s="129"/>
      <c r="F23" s="129"/>
      <c r="G23" s="129"/>
      <c r="H23" s="79" t="s">
        <v>11</v>
      </c>
      <c r="I23" s="80">
        <v>48479.77748186071</v>
      </c>
    </row>
    <row r="24" spans="1:9" ht="12.75">
      <c r="A24" s="68" t="s">
        <v>39</v>
      </c>
      <c r="B24" s="134"/>
      <c r="C24" s="134"/>
      <c r="D24" s="129" t="s">
        <v>40</v>
      </c>
      <c r="E24" s="129"/>
      <c r="F24" s="129"/>
      <c r="G24" s="129"/>
      <c r="H24" s="79" t="s">
        <v>11</v>
      </c>
      <c r="I24" s="80">
        <v>113784.29026321163</v>
      </c>
    </row>
    <row r="25" spans="1:9" ht="12.75">
      <c r="A25" s="68" t="s">
        <v>41</v>
      </c>
      <c r="B25" s="134"/>
      <c r="C25" s="134"/>
      <c r="D25" s="129" t="s">
        <v>42</v>
      </c>
      <c r="E25" s="129"/>
      <c r="F25" s="129"/>
      <c r="G25" s="129"/>
      <c r="H25" s="79" t="s">
        <v>11</v>
      </c>
      <c r="I25" s="80">
        <v>78709.84114921956</v>
      </c>
    </row>
    <row r="26" spans="1:9" ht="12.75">
      <c r="A26" s="68" t="s">
        <v>43</v>
      </c>
      <c r="B26" s="134"/>
      <c r="C26" s="134"/>
      <c r="D26" s="140" t="s">
        <v>44</v>
      </c>
      <c r="E26" s="140"/>
      <c r="F26" s="140"/>
      <c r="G26" s="140"/>
      <c r="H26" s="79" t="s">
        <v>11</v>
      </c>
      <c r="I26" s="80">
        <v>61573.43138499307</v>
      </c>
    </row>
    <row r="27" spans="1:9" ht="12.75">
      <c r="A27" s="68" t="s">
        <v>45</v>
      </c>
      <c r="B27" s="134"/>
      <c r="C27" s="134"/>
      <c r="D27" s="129" t="s">
        <v>46</v>
      </c>
      <c r="E27" s="129"/>
      <c r="F27" s="129"/>
      <c r="G27" s="129"/>
      <c r="H27" s="79" t="s">
        <v>11</v>
      </c>
      <c r="I27" s="80">
        <v>4365.444138666482</v>
      </c>
    </row>
    <row r="28" spans="1:9" ht="12.75">
      <c r="A28" s="68" t="s">
        <v>47</v>
      </c>
      <c r="B28" s="134"/>
      <c r="C28" s="134"/>
      <c r="D28" s="129" t="s">
        <v>48</v>
      </c>
      <c r="E28" s="129"/>
      <c r="F28" s="129"/>
      <c r="G28" s="129"/>
      <c r="H28" s="79" t="s">
        <v>11</v>
      </c>
      <c r="I28" s="80">
        <v>4143.253277078333</v>
      </c>
    </row>
    <row r="29" spans="1:9" ht="12.75">
      <c r="A29" s="68" t="s">
        <v>49</v>
      </c>
      <c r="B29" s="134"/>
      <c r="C29" s="134"/>
      <c r="D29" s="129" t="s">
        <v>50</v>
      </c>
      <c r="E29" s="129"/>
      <c r="F29" s="129"/>
      <c r="G29" s="129"/>
      <c r="H29" s="79" t="s">
        <v>11</v>
      </c>
      <c r="I29" s="80">
        <v>2224.2196793300013</v>
      </c>
    </row>
    <row r="30" spans="1:9" ht="12.75">
      <c r="A30" s="68" t="s">
        <v>51</v>
      </c>
      <c r="B30" s="134"/>
      <c r="C30" s="134"/>
      <c r="D30" s="129" t="s">
        <v>52</v>
      </c>
      <c r="E30" s="129"/>
      <c r="F30" s="129"/>
      <c r="G30" s="129"/>
      <c r="H30" s="79" t="s">
        <v>11</v>
      </c>
      <c r="I30" s="80">
        <v>21817.63799928446</v>
      </c>
    </row>
    <row r="31" spans="1:9" ht="12.75">
      <c r="A31" s="68" t="s">
        <v>53</v>
      </c>
      <c r="B31" s="134"/>
      <c r="C31" s="134"/>
      <c r="D31" s="129" t="s">
        <v>54</v>
      </c>
      <c r="E31" s="129"/>
      <c r="F31" s="129"/>
      <c r="G31" s="129"/>
      <c r="H31" s="79" t="s">
        <v>11</v>
      </c>
      <c r="I31" s="80">
        <v>81076.42813880988</v>
      </c>
    </row>
    <row r="32" spans="1:9" ht="12.75">
      <c r="A32" s="68" t="s">
        <v>55</v>
      </c>
      <c r="B32" s="134"/>
      <c r="C32" s="134"/>
      <c r="D32" s="129" t="s">
        <v>56</v>
      </c>
      <c r="E32" s="129"/>
      <c r="F32" s="129"/>
      <c r="G32" s="129"/>
      <c r="H32" s="79" t="s">
        <v>11</v>
      </c>
      <c r="I32" s="80">
        <v>8515.97871606581</v>
      </c>
    </row>
    <row r="33" spans="1:9" ht="12.75">
      <c r="A33" s="73"/>
      <c r="B33" s="178"/>
      <c r="C33" s="178"/>
      <c r="D33" s="180" t="s">
        <v>57</v>
      </c>
      <c r="E33" s="180"/>
      <c r="F33" s="180"/>
      <c r="G33" s="180"/>
      <c r="H33" s="79"/>
      <c r="I33" s="80">
        <v>1152600.6575942682</v>
      </c>
    </row>
    <row r="34" spans="1:9" ht="12.75">
      <c r="A34" s="72">
        <v>3</v>
      </c>
      <c r="B34" s="136" t="s">
        <v>345</v>
      </c>
      <c r="C34" s="136"/>
      <c r="D34" s="134" t="s">
        <v>7</v>
      </c>
      <c r="E34" s="134"/>
      <c r="F34" s="134"/>
      <c r="G34" s="134"/>
      <c r="H34" s="79">
        <v>0.20271706721196103</v>
      </c>
      <c r="I34" s="80"/>
    </row>
    <row r="35" spans="1:9" ht="12.75">
      <c r="A35" s="68" t="s">
        <v>58</v>
      </c>
      <c r="B35" s="134"/>
      <c r="C35" s="134"/>
      <c r="D35" s="129" t="s">
        <v>19</v>
      </c>
      <c r="E35" s="129"/>
      <c r="F35" s="129"/>
      <c r="G35" s="129"/>
      <c r="H35" s="79" t="s">
        <v>11</v>
      </c>
      <c r="I35" s="80">
        <v>18364.106620341718</v>
      </c>
    </row>
    <row r="36" spans="1:9" ht="12.75">
      <c r="A36" s="68" t="s">
        <v>59</v>
      </c>
      <c r="B36" s="134"/>
      <c r="C36" s="134"/>
      <c r="D36" s="129" t="s">
        <v>24</v>
      </c>
      <c r="E36" s="129"/>
      <c r="F36" s="129"/>
      <c r="G36" s="129"/>
      <c r="H36" s="79" t="s">
        <v>11</v>
      </c>
      <c r="I36" s="80">
        <v>130907.10439895027</v>
      </c>
    </row>
    <row r="37" spans="1:9" ht="12.75">
      <c r="A37" s="68" t="s">
        <v>60</v>
      </c>
      <c r="B37" s="134"/>
      <c r="C37" s="134"/>
      <c r="D37" s="129" t="s">
        <v>26</v>
      </c>
      <c r="E37" s="129"/>
      <c r="F37" s="129"/>
      <c r="G37" s="129"/>
      <c r="H37" s="79" t="s">
        <v>11</v>
      </c>
      <c r="I37" s="80">
        <v>71335.4762854441</v>
      </c>
    </row>
    <row r="38" spans="1:9" ht="12.75">
      <c r="A38" s="68" t="s">
        <v>61</v>
      </c>
      <c r="B38" s="134"/>
      <c r="C38" s="134"/>
      <c r="D38" s="129" t="s">
        <v>28</v>
      </c>
      <c r="E38" s="129"/>
      <c r="F38" s="129"/>
      <c r="G38" s="129"/>
      <c r="H38" s="79" t="s">
        <v>11</v>
      </c>
      <c r="I38" s="80">
        <v>76822.82061509365</v>
      </c>
    </row>
    <row r="39" spans="1:9" ht="12.75">
      <c r="A39" s="68" t="s">
        <v>62</v>
      </c>
      <c r="B39" s="134"/>
      <c r="C39" s="134"/>
      <c r="D39" s="129" t="s">
        <v>30</v>
      </c>
      <c r="E39" s="129"/>
      <c r="F39" s="129"/>
      <c r="G39" s="129"/>
      <c r="H39" s="79" t="s">
        <v>11</v>
      </c>
      <c r="I39" s="80">
        <v>71335.4762854441</v>
      </c>
    </row>
    <row r="40" spans="1:9" ht="12.75">
      <c r="A40" s="68" t="s">
        <v>63</v>
      </c>
      <c r="B40" s="134"/>
      <c r="C40" s="134"/>
      <c r="D40" s="129" t="s">
        <v>64</v>
      </c>
      <c r="E40" s="129"/>
      <c r="F40" s="129"/>
      <c r="G40" s="129"/>
      <c r="H40" s="79" t="s">
        <v>11</v>
      </c>
      <c r="I40" s="80">
        <v>33480.0570775676</v>
      </c>
    </row>
    <row r="41" spans="1:9" ht="12.75">
      <c r="A41" s="68" t="s">
        <v>65</v>
      </c>
      <c r="B41" s="134"/>
      <c r="C41" s="134"/>
      <c r="D41" s="129" t="s">
        <v>66</v>
      </c>
      <c r="E41" s="129"/>
      <c r="F41" s="129"/>
      <c r="G41" s="129"/>
      <c r="H41" s="79" t="s">
        <v>11</v>
      </c>
      <c r="I41" s="80">
        <v>33900.23548772471</v>
      </c>
    </row>
    <row r="42" spans="1:9" ht="12.75">
      <c r="A42" s="68" t="s">
        <v>67</v>
      </c>
      <c r="B42" s="134"/>
      <c r="C42" s="134"/>
      <c r="D42" s="129" t="s">
        <v>68</v>
      </c>
      <c r="E42" s="129"/>
      <c r="F42" s="129"/>
      <c r="G42" s="129"/>
      <c r="H42" s="79" t="s">
        <v>11</v>
      </c>
      <c r="I42" s="80">
        <v>11544.284090206616</v>
      </c>
    </row>
    <row r="43" spans="1:9" ht="12.75">
      <c r="A43" s="68" t="s">
        <v>69</v>
      </c>
      <c r="B43" s="134"/>
      <c r="C43" s="134"/>
      <c r="D43" s="129" t="s">
        <v>70</v>
      </c>
      <c r="E43" s="129"/>
      <c r="F43" s="129"/>
      <c r="G43" s="129"/>
      <c r="H43" s="79" t="s">
        <v>11</v>
      </c>
      <c r="I43" s="80">
        <v>4840.546567181174</v>
      </c>
    </row>
    <row r="44" spans="1:9" ht="12.75">
      <c r="A44" s="74"/>
      <c r="B44" s="178"/>
      <c r="C44" s="178"/>
      <c r="D44" s="179" t="s">
        <v>57</v>
      </c>
      <c r="E44" s="179"/>
      <c r="F44" s="179"/>
      <c r="G44" s="179"/>
      <c r="H44" s="79"/>
      <c r="I44" s="80">
        <v>452530.107427954</v>
      </c>
    </row>
    <row r="45" spans="1:9" ht="12.75">
      <c r="A45" s="72">
        <v>4</v>
      </c>
      <c r="B45" s="136" t="s">
        <v>346</v>
      </c>
      <c r="C45" s="136"/>
      <c r="D45" s="134" t="s">
        <v>7</v>
      </c>
      <c r="E45" s="134"/>
      <c r="F45" s="134"/>
      <c r="G45" s="134"/>
      <c r="H45" s="79">
        <v>0.1873242448848623</v>
      </c>
      <c r="I45" s="80"/>
    </row>
    <row r="46" spans="1:9" ht="12.75">
      <c r="A46" s="68" t="s">
        <v>71</v>
      </c>
      <c r="B46" s="134"/>
      <c r="C46" s="134"/>
      <c r="D46" s="129" t="s">
        <v>19</v>
      </c>
      <c r="E46" s="129"/>
      <c r="F46" s="129"/>
      <c r="G46" s="129"/>
      <c r="H46" s="79" t="s">
        <v>11</v>
      </c>
      <c r="I46" s="80">
        <v>12639.418733704937</v>
      </c>
    </row>
    <row r="47" spans="1:9" ht="12.75">
      <c r="A47" s="68" t="s">
        <v>72</v>
      </c>
      <c r="B47" s="134"/>
      <c r="C47" s="134"/>
      <c r="D47" s="129" t="s">
        <v>73</v>
      </c>
      <c r="E47" s="129"/>
      <c r="F47" s="129"/>
      <c r="G47" s="129"/>
      <c r="H47" s="79" t="s">
        <v>11</v>
      </c>
      <c r="I47" s="80">
        <v>108415.60284485883</v>
      </c>
    </row>
    <row r="48" spans="1:9" ht="12.75">
      <c r="A48" s="68" t="s">
        <v>74</v>
      </c>
      <c r="B48" s="134"/>
      <c r="C48" s="134"/>
      <c r="D48" s="129" t="s">
        <v>24</v>
      </c>
      <c r="E48" s="129"/>
      <c r="F48" s="129"/>
      <c r="G48" s="129"/>
      <c r="H48" s="79" t="s">
        <v>11</v>
      </c>
      <c r="I48" s="80">
        <v>88149.00752032686</v>
      </c>
    </row>
    <row r="49" spans="1:9" ht="12.75">
      <c r="A49" s="68" t="s">
        <v>75</v>
      </c>
      <c r="B49" s="134"/>
      <c r="C49" s="134"/>
      <c r="D49" s="129" t="s">
        <v>26</v>
      </c>
      <c r="E49" s="129"/>
      <c r="F49" s="129"/>
      <c r="G49" s="129"/>
      <c r="H49" s="79" t="s">
        <v>11</v>
      </c>
      <c r="I49" s="80">
        <v>47377.61270905844</v>
      </c>
    </row>
    <row r="50" spans="1:9" ht="12.75">
      <c r="A50" s="68" t="s">
        <v>76</v>
      </c>
      <c r="B50" s="134"/>
      <c r="C50" s="134"/>
      <c r="D50" s="129" t="s">
        <v>28</v>
      </c>
      <c r="E50" s="129"/>
      <c r="F50" s="129"/>
      <c r="G50" s="129"/>
      <c r="H50" s="79" t="s">
        <v>11</v>
      </c>
      <c r="I50" s="80">
        <v>51022.04445590909</v>
      </c>
    </row>
    <row r="51" spans="1:9" ht="12.75">
      <c r="A51" s="68" t="s">
        <v>77</v>
      </c>
      <c r="B51" s="134"/>
      <c r="C51" s="134"/>
      <c r="D51" s="129" t="s">
        <v>30</v>
      </c>
      <c r="E51" s="129"/>
      <c r="F51" s="129"/>
      <c r="G51" s="129"/>
      <c r="H51" s="79" t="s">
        <v>11</v>
      </c>
      <c r="I51" s="80">
        <v>47377.61270905844</v>
      </c>
    </row>
    <row r="52" spans="1:9" ht="12.75">
      <c r="A52" s="68" t="s">
        <v>78</v>
      </c>
      <c r="B52" s="134"/>
      <c r="C52" s="134"/>
      <c r="D52" s="129" t="s">
        <v>79</v>
      </c>
      <c r="E52" s="129"/>
      <c r="F52" s="129"/>
      <c r="G52" s="129"/>
      <c r="H52" s="79" t="s">
        <v>11</v>
      </c>
      <c r="I52" s="80">
        <v>1373.409890029079</v>
      </c>
    </row>
    <row r="53" spans="1:9" ht="12.75">
      <c r="A53" s="68" t="s">
        <v>80</v>
      </c>
      <c r="B53" s="134"/>
      <c r="C53" s="134"/>
      <c r="D53" s="129" t="s">
        <v>81</v>
      </c>
      <c r="E53" s="129"/>
      <c r="F53" s="129"/>
      <c r="G53" s="129"/>
      <c r="H53" s="79" t="s">
        <v>11</v>
      </c>
      <c r="I53" s="80">
        <v>13538.383736284168</v>
      </c>
    </row>
    <row r="54" spans="1:9" ht="12.75">
      <c r="A54" s="68" t="s">
        <v>82</v>
      </c>
      <c r="B54" s="134"/>
      <c r="C54" s="134"/>
      <c r="D54" s="129" t="s">
        <v>66</v>
      </c>
      <c r="E54" s="129"/>
      <c r="F54" s="129"/>
      <c r="G54" s="129"/>
      <c r="H54" s="79" t="s">
        <v>11</v>
      </c>
      <c r="I54" s="80">
        <v>17346.049327253317</v>
      </c>
    </row>
    <row r="55" spans="1:9" ht="12.75">
      <c r="A55" s="68" t="s">
        <v>83</v>
      </c>
      <c r="B55" s="134"/>
      <c r="C55" s="134"/>
      <c r="D55" s="129" t="s">
        <v>84</v>
      </c>
      <c r="E55" s="129"/>
      <c r="F55" s="129"/>
      <c r="G55" s="129"/>
      <c r="H55" s="79" t="s">
        <v>11</v>
      </c>
      <c r="I55" s="80">
        <v>3408.4221279501094</v>
      </c>
    </row>
    <row r="56" spans="1:9" ht="12.75">
      <c r="A56" s="68" t="s">
        <v>85</v>
      </c>
      <c r="B56" s="134"/>
      <c r="C56" s="134"/>
      <c r="D56" s="129" t="s">
        <v>68</v>
      </c>
      <c r="E56" s="129"/>
      <c r="F56" s="129"/>
      <c r="G56" s="129"/>
      <c r="H56" s="79" t="s">
        <v>11</v>
      </c>
      <c r="I56" s="80">
        <v>15743.26397253051</v>
      </c>
    </row>
    <row r="57" spans="1:9" ht="12.75">
      <c r="A57" s="68" t="s">
        <v>86</v>
      </c>
      <c r="B57" s="134"/>
      <c r="C57" s="134"/>
      <c r="D57" s="129" t="s">
        <v>70</v>
      </c>
      <c r="E57" s="129"/>
      <c r="F57" s="129"/>
      <c r="G57" s="129"/>
      <c r="H57" s="79" t="s">
        <v>11</v>
      </c>
      <c r="I57" s="80">
        <v>11777.517773795536</v>
      </c>
    </row>
    <row r="58" spans="4:9" ht="12.75">
      <c r="D58" t="s">
        <v>57</v>
      </c>
      <c r="H58" s="79" t="s">
        <v>11</v>
      </c>
      <c r="I58" s="80">
        <v>418168.3458007593</v>
      </c>
    </row>
    <row r="59" spans="1:9" ht="12.75">
      <c r="A59" t="s">
        <v>198</v>
      </c>
      <c r="H59" s="79">
        <v>0.9999999999999999</v>
      </c>
      <c r="I59" s="80">
        <v>2232323.669890056</v>
      </c>
    </row>
  </sheetData>
  <sheetProtection/>
  <mergeCells count="107">
    <mergeCell ref="D1:G1"/>
    <mergeCell ref="A3:I3"/>
    <mergeCell ref="A4:A7"/>
    <mergeCell ref="B4:C7"/>
    <mergeCell ref="D4:G7"/>
    <mergeCell ref="H4:H7"/>
    <mergeCell ref="I4:I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B35:C35"/>
    <mergeCell ref="D35:G35"/>
    <mergeCell ref="B36:C36"/>
    <mergeCell ref="D36:G36"/>
    <mergeCell ref="B37:C37"/>
    <mergeCell ref="D37:G37"/>
    <mergeCell ref="B38:C38"/>
    <mergeCell ref="D38:G38"/>
    <mergeCell ref="B39:C39"/>
    <mergeCell ref="D39:G39"/>
    <mergeCell ref="B40:C40"/>
    <mergeCell ref="D40:G40"/>
    <mergeCell ref="B41:C41"/>
    <mergeCell ref="D41:G41"/>
    <mergeCell ref="B42:C42"/>
    <mergeCell ref="D42:G42"/>
    <mergeCell ref="B43:C43"/>
    <mergeCell ref="D43:G43"/>
    <mergeCell ref="B44:C44"/>
    <mergeCell ref="D44:G44"/>
    <mergeCell ref="B45:C45"/>
    <mergeCell ref="D45:G45"/>
    <mergeCell ref="B46:C46"/>
    <mergeCell ref="D46:G46"/>
    <mergeCell ref="B47:C47"/>
    <mergeCell ref="D47:G47"/>
    <mergeCell ref="B48:C48"/>
    <mergeCell ref="D48:G48"/>
    <mergeCell ref="B49:C49"/>
    <mergeCell ref="D49:G49"/>
    <mergeCell ref="B50:C50"/>
    <mergeCell ref="D50:G50"/>
    <mergeCell ref="B51:C51"/>
    <mergeCell ref="D51:G51"/>
    <mergeCell ref="B52:C52"/>
    <mergeCell ref="D52:G52"/>
    <mergeCell ref="B56:C56"/>
    <mergeCell ref="D56:G56"/>
    <mergeCell ref="B57:C57"/>
    <mergeCell ref="D57:G57"/>
    <mergeCell ref="B53:C53"/>
    <mergeCell ref="D53:G53"/>
    <mergeCell ref="B54:C54"/>
    <mergeCell ref="D54:G54"/>
    <mergeCell ref="B55:C55"/>
    <mergeCell ref="D55:G55"/>
  </mergeCells>
  <dataValidations count="2">
    <dataValidation allowBlank="1" showInputMessage="1" showErrorMessage="1" promptTitle="INCLUI:" sqref="D27:D32 D50:D57 D35:D42">
      <formula1>0</formula1>
      <formula2>0</formula2>
    </dataValidation>
    <dataValidation allowBlank="1" showInputMessage="1" showErrorMessage="1" promptTitle="INCLUI:" prompt="preparo do terreno, escavações/aterro/reaterro/compactação de solos e esgotamentos" sqref="D14 D46">
      <formula1>0</formula1>
      <formula2>0</formula2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&amp;RIA/ENG/0076-001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Bolognesi</dc:creator>
  <cp:keywords/>
  <dc:description/>
  <cp:lastModifiedBy>Veronica Elvira Pieroli Martines</cp:lastModifiedBy>
  <cp:lastPrinted>2021-12-28T17:11:37Z</cp:lastPrinted>
  <dcterms:created xsi:type="dcterms:W3CDTF">2014-04-14T19:01:17Z</dcterms:created>
  <dcterms:modified xsi:type="dcterms:W3CDTF">2022-06-14T14:37:14Z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52416d4f-1d73-4183-8bcb-f2a661c6fbc9</vt:lpwstr>
  </property>
  <property fmtid="{D5CDD505-2E9C-101B-9397-08002B2CF9AE}" pid="3" name="bjDocumentSecurityLabel">
    <vt:lpwstr>No Marking</vt:lpwstr>
  </property>
  <property fmtid="{D5CDD505-2E9C-101B-9397-08002B2CF9AE}" pid="4" name="bjSaver">
    <vt:lpwstr>0b9+jJks5e3Wp+J49HoSySlxkY62+dDw</vt:lpwstr>
  </property>
  <property fmtid="{D5CDD505-2E9C-101B-9397-08002B2CF9AE}" pid="5" name="bjClsUserRVM">
    <vt:lpwstr>[]</vt:lpwstr>
  </property>
</Properties>
</file>